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P:\Ходько\Работа\9. ЖК Восход (Ходько)\7. Заявки\Работа\11. Кровля\"/>
    </mc:Choice>
  </mc:AlternateContent>
  <xr:revisionPtr revIDLastSave="0" documentId="13_ncr:1_{D3B5E425-FFCC-4664-94AB-5A02791B6C0A}" xr6:coauthVersionLast="47" xr6:coauthVersionMax="47" xr10:uidLastSave="{00000000-0000-0000-0000-000000000000}"/>
  <bookViews>
    <workbookView xWindow="38280" yWindow="-120" windowWidth="38640" windowHeight="21120" xr2:uid="{370A2A76-F54A-4AD2-9957-4605258DA2FE}"/>
  </bookViews>
  <sheets>
    <sheet name="ВОР" sheetId="5" r:id="rId1"/>
    <sheet name="подсчет" sheetId="7" state="hidden" r:id="rId2"/>
    <sheet name="для работ" sheetId="3" state="hidden" r:id="rId3"/>
  </sheets>
  <externalReferences>
    <externalReference r:id="rId4"/>
  </externalReferences>
  <definedNames>
    <definedName name="_xlnm._FilterDatabase" localSheetId="0" hidden="1">ВОР!$A$5:$V$759</definedName>
    <definedName name="_xlnm._FilterDatabase" localSheetId="2" hidden="1">'для работ'!$A$2:$B$2</definedName>
    <definedName name="_xlnm._FilterDatabase" localSheetId="1" hidden="1">подсчет!$A$5:$S$69</definedName>
    <definedName name="Z_00F53009_ADC7_48A9_B404_FCC1348B333F_.wvu.Cols" localSheetId="0" hidden="1">ВОР!$K:$N</definedName>
    <definedName name="Z_00F53009_ADC7_48A9_B404_FCC1348B333F_.wvu.Cols" localSheetId="1" hidden="1">подсчет!$H:$K</definedName>
    <definedName name="Z_00F53009_ADC7_48A9_B404_FCC1348B333F_.wvu.FilterData" localSheetId="0" hidden="1">ВОР!$A$5:$V$5</definedName>
    <definedName name="Z_00F53009_ADC7_48A9_B404_FCC1348B333F_.wvu.FilterData" localSheetId="1" hidden="1">подсчет!$A$5:$S$5</definedName>
    <definedName name="Z_00F53009_ADC7_48A9_B404_FCC1348B333F_.wvu.PrintArea" localSheetId="0" hidden="1">ВОР!$B$1:$V$5</definedName>
    <definedName name="Z_00F53009_ADC7_48A9_B404_FCC1348B333F_.wvu.PrintArea" localSheetId="1" hidden="1">подсчет!$B$1:$S$5</definedName>
    <definedName name="Z_0A48BF16_9C47_4CAB_ACF5_017C6FB22398_.wvu.FilterData" localSheetId="0" hidden="1">ВОР!$A$5:$V$5</definedName>
    <definedName name="Z_0A48BF16_9C47_4CAB_ACF5_017C6FB22398_.wvu.FilterData" localSheetId="1" hidden="1">подсчет!$A$5:$S$5</definedName>
    <definedName name="Z_26050CD0_FB3D_4CFF_B489_F22B72D7E5F1_.wvu.FilterData" localSheetId="0" hidden="1">ВОР!$A$5:$V$5</definedName>
    <definedName name="Z_26050CD0_FB3D_4CFF_B489_F22B72D7E5F1_.wvu.FilterData" localSheetId="1" hidden="1">подсчет!$A$5:$S$5</definedName>
    <definedName name="Z_4B899D93_BAC2_4866_9C57_0475F7D7A549_.wvu.FilterData" localSheetId="0" hidden="1">ВОР!$A$5:$V$5</definedName>
    <definedName name="Z_4B899D93_BAC2_4866_9C57_0475F7D7A549_.wvu.FilterData" localSheetId="1" hidden="1">подсчет!$A$5:$S$5</definedName>
    <definedName name="Z_5283D16C_AC35_4F3F_8C95_3807CE638CE0_.wvu.FilterData" localSheetId="0" hidden="1">ВОР!$A$5:$V$5</definedName>
    <definedName name="Z_5283D16C_AC35_4F3F_8C95_3807CE638CE0_.wvu.FilterData" localSheetId="1" hidden="1">подсчет!$A$5:$S$5</definedName>
    <definedName name="Z_7CAA6AD7_A925_4BEC_B765_2F8F0554FB2F_.wvu.Cols" localSheetId="0" hidden="1">ВОР!$K:$N</definedName>
    <definedName name="Z_7CAA6AD7_A925_4BEC_B765_2F8F0554FB2F_.wvu.Cols" localSheetId="1" hidden="1">подсчет!$H:$K</definedName>
    <definedName name="Z_7CAA6AD7_A925_4BEC_B765_2F8F0554FB2F_.wvu.FilterData" localSheetId="0" hidden="1">ВОР!$A$5:$V$5</definedName>
    <definedName name="Z_7CAA6AD7_A925_4BEC_B765_2F8F0554FB2F_.wvu.FilterData" localSheetId="1" hidden="1">подсчет!$A$5:$S$5</definedName>
    <definedName name="Z_7CAA6AD7_A925_4BEC_B765_2F8F0554FB2F_.wvu.PrintArea" localSheetId="0" hidden="1">ВОР!$B$1:$V$5</definedName>
    <definedName name="Z_7CAA6AD7_A925_4BEC_B765_2F8F0554FB2F_.wvu.PrintArea" localSheetId="1" hidden="1">подсчет!$B$1:$S$5</definedName>
    <definedName name="Z_8B1FE2B1_C442_4403_9974_E1A44BA76280_.wvu.FilterData" localSheetId="0" hidden="1">ВОР!$A$5:$V$5</definedName>
    <definedName name="Z_8B1FE2B1_C442_4403_9974_E1A44BA76280_.wvu.FilterData" localSheetId="1" hidden="1">подсчет!$A$5:$S$5</definedName>
    <definedName name="Z_8D76E680_DF7D_4B3B_837E_6D1E1D5CAA92_.wvu.Cols" localSheetId="0" hidden="1">ВОР!$K:$N</definedName>
    <definedName name="Z_8D76E680_DF7D_4B3B_837E_6D1E1D5CAA92_.wvu.Cols" localSheetId="1" hidden="1">подсчет!$H:$K</definedName>
    <definedName name="Z_8D76E680_DF7D_4B3B_837E_6D1E1D5CAA92_.wvu.FilterData" localSheetId="0" hidden="1">ВОР!$A$5:$V$5</definedName>
    <definedName name="Z_8D76E680_DF7D_4B3B_837E_6D1E1D5CAA92_.wvu.FilterData" localSheetId="1" hidden="1">подсчет!$A$5:$S$5</definedName>
    <definedName name="Z_8D76E680_DF7D_4B3B_837E_6D1E1D5CAA92_.wvu.PrintArea" localSheetId="0" hidden="1">ВОР!$B$1:$V$5</definedName>
    <definedName name="Z_8D76E680_DF7D_4B3B_837E_6D1E1D5CAA92_.wvu.PrintArea" localSheetId="1" hidden="1">подсчет!$B$1:$S$5</definedName>
    <definedName name="Z_98304766_501D_4267_A5B1_9C1EB54A5202_.wvu.FilterData" localSheetId="0" hidden="1">ВОР!$A$5:$V$5</definedName>
    <definedName name="Z_98304766_501D_4267_A5B1_9C1EB54A5202_.wvu.FilterData" localSheetId="1" hidden="1">подсчет!$A$5:$S$5</definedName>
    <definedName name="Z_C83FEC35_3E9E_4502_B8FD_719990FBC96A_.wvu.FilterData" localSheetId="0" hidden="1">ВОР!$A$5:$V$5</definedName>
    <definedName name="Z_C83FEC35_3E9E_4502_B8FD_719990FBC96A_.wvu.FilterData" localSheetId="1" hidden="1">подсчет!$A$5:$S$5</definedName>
    <definedName name="Z_D22506CD_4AB4_4D0C_915F_59EFB55D504B_.wvu.Cols" localSheetId="0" hidden="1">ВОР!$K:$N</definedName>
    <definedName name="Z_D22506CD_4AB4_4D0C_915F_59EFB55D504B_.wvu.Cols" localSheetId="1" hidden="1">подсчет!$H:$K</definedName>
    <definedName name="Z_D22506CD_4AB4_4D0C_915F_59EFB55D504B_.wvu.FilterData" localSheetId="0" hidden="1">ВОР!$A$5:$V$5</definedName>
    <definedName name="Z_D22506CD_4AB4_4D0C_915F_59EFB55D504B_.wvu.FilterData" localSheetId="1" hidden="1">подсчет!$A$5:$S$5</definedName>
    <definedName name="Z_D22506CD_4AB4_4D0C_915F_59EFB55D504B_.wvu.PrintArea" localSheetId="0" hidden="1">ВОР!$B$1:$V$5</definedName>
    <definedName name="Z_D22506CD_4AB4_4D0C_915F_59EFB55D504B_.wvu.PrintArea" localSheetId="1" hidden="1">подсчет!$B$1:$S$5</definedName>
    <definedName name="Z_D2E0B85E_B00F_417D_B6C8_899191AD8EBD_.wvu.FilterData" localSheetId="0" hidden="1">ВОР!$A$5:$V$5</definedName>
    <definedName name="Z_D2E0B85E_B00F_417D_B6C8_899191AD8EBD_.wvu.FilterData" localSheetId="1" hidden="1">подсчет!$A$5:$S$5</definedName>
    <definedName name="Z_D9CB5106_7D21_4E01_808C_05D8C495BAF1_.wvu.Cols" localSheetId="0" hidden="1">ВОР!$K:$N</definedName>
    <definedName name="Z_D9CB5106_7D21_4E01_808C_05D8C495BAF1_.wvu.Cols" localSheetId="1" hidden="1">подсчет!$H:$K</definedName>
    <definedName name="Z_D9CB5106_7D21_4E01_808C_05D8C495BAF1_.wvu.FilterData" localSheetId="0" hidden="1">ВОР!$A$5:$V$5</definedName>
    <definedName name="Z_D9CB5106_7D21_4E01_808C_05D8C495BAF1_.wvu.FilterData" localSheetId="1" hidden="1">подсчет!$A$5:$S$5</definedName>
    <definedName name="Z_D9CB5106_7D21_4E01_808C_05D8C495BAF1_.wvu.PrintArea" localSheetId="0" hidden="1">ВОР!$B$1:$V$5</definedName>
    <definedName name="Z_D9CB5106_7D21_4E01_808C_05D8C495BAF1_.wvu.PrintArea" localSheetId="1" hidden="1">подсчет!$B$1:$S$5</definedName>
    <definedName name="Допник">[1]Параметры!#REF!</definedName>
    <definedName name="евро">[1]Параметры!#REF!</definedName>
    <definedName name="_xlnm.Print_Titles" localSheetId="0">ВОР!$2:$5</definedName>
    <definedName name="_xlnm.Print_Titles" localSheetId="1">подсчет!$2:$5</definedName>
    <definedName name="Кирв">[1]Параметры!$B$4</definedName>
    <definedName name="кр">[1]Параметры!#REF!</definedName>
    <definedName name="_xlnm.Print_Area" localSheetId="0">ВОР!$B$1:$S$759</definedName>
    <definedName name="_xlnm.Print_Area" localSheetId="1">подсчет!$B$1:$S$69</definedName>
    <definedName name="Тип">[1]ФОТ!#REF!</definedName>
  </definedNames>
  <calcPr calcId="191029"/>
  <customWorkbookViews>
    <customWorkbookView name="ПТО - Личное представление" guid="{7CAA6AD7-A925-4BEC-B765-2F8F0554FB2F}" mergeInterval="0" personalView="1" maximized="1" xWindow="-8" yWindow="-8" windowWidth="1936" windowHeight="1056" activeSheetId="2"/>
    <customWorkbookView name="User - Личное представление" guid="{00F53009-ADC7-48A9-B404-FCC1348B333F}" mergeInterval="0" personalView="1" maximized="1" xWindow="2391" yWindow="-9" windowWidth="2418" windowHeight="1368" activeSheetId="2"/>
    <customWorkbookView name="U2-3 - Личное представление" guid="{8D76E680-DF7D-4B3B-837E-6D1E1D5CAA92}" mergeInterval="0" personalView="1" maximized="1" xWindow="-8" yWindow="-8" windowWidth="1936" windowHeight="1056" activeSheetId="2"/>
    <customWorkbookView name="Урлапов Александр Анатольевич - Личное представление" guid="{D9CB5106-7D21-4E01-808C-05D8C495BAF1}" mergeInterval="0" personalView="1" maximized="1" xWindow="-8" yWindow="-8" windowWidth="1936" windowHeight="1056" activeSheetId="2"/>
    <customWorkbookView name="Миляева Наталья Викторовна - Личное представление" guid="{D22506CD-4AB4-4D0C-915F-59EFB55D504B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5" i="5" l="1"/>
  <c r="H359" i="5"/>
  <c r="H340" i="5"/>
  <c r="H322" i="5"/>
  <c r="H367" i="5" l="1"/>
  <c r="H368" i="5" s="1"/>
  <c r="H351" i="5"/>
  <c r="H352" i="5" s="1"/>
  <c r="H332" i="5"/>
  <c r="H333" i="5" s="1"/>
  <c r="H314" i="5"/>
  <c r="H315" i="5" s="1"/>
  <c r="H748" i="5"/>
  <c r="H752" i="5" s="1"/>
  <c r="H753" i="5" s="1"/>
  <c r="H735" i="5"/>
  <c r="H743" i="5" s="1"/>
  <c r="H744" i="5" s="1"/>
  <c r="H722" i="5"/>
  <c r="H724" i="5" s="1"/>
  <c r="H728" i="5" s="1"/>
  <c r="H729" i="5" s="1"/>
  <c r="H709" i="5"/>
  <c r="H711" i="5" s="1"/>
  <c r="H712" i="5" s="1"/>
  <c r="H82" i="5"/>
  <c r="H83" i="5" s="1"/>
  <c r="H61" i="5"/>
  <c r="H62" i="5" s="1"/>
  <c r="H19" i="5"/>
  <c r="H20" i="5" s="1"/>
  <c r="H40" i="5"/>
  <c r="H41" i="5" s="1"/>
  <c r="H692" i="5"/>
  <c r="H691" i="5" s="1"/>
  <c r="H690" i="5"/>
  <c r="H689" i="5" s="1"/>
  <c r="H687" i="5"/>
  <c r="H685" i="5"/>
  <c r="H684" i="5" s="1"/>
  <c r="H683" i="5"/>
  <c r="H682" i="5"/>
  <c r="H680" i="5"/>
  <c r="H679" i="5"/>
  <c r="H678" i="5"/>
  <c r="H677" i="5"/>
  <c r="H676" i="5"/>
  <c r="H661" i="5"/>
  <c r="H660" i="5" s="1"/>
  <c r="H663" i="5"/>
  <c r="H662" i="5" s="1"/>
  <c r="H658" i="5"/>
  <c r="H656" i="5"/>
  <c r="H655" i="5" s="1"/>
  <c r="H654" i="5"/>
  <c r="H653" i="5"/>
  <c r="H622" i="5"/>
  <c r="H651" i="5"/>
  <c r="H650" i="5"/>
  <c r="H649" i="5"/>
  <c r="H648" i="5"/>
  <c r="H647" i="5"/>
  <c r="H634" i="5"/>
  <c r="H633" i="5" s="1"/>
  <c r="H632" i="5"/>
  <c r="H631" i="5" s="1"/>
  <c r="H629" i="5"/>
  <c r="H627" i="5"/>
  <c r="H626" i="5" s="1"/>
  <c r="H625" i="5"/>
  <c r="H621" i="5"/>
  <c r="H618" i="5"/>
  <c r="H624" i="5"/>
  <c r="H620" i="5"/>
  <c r="H619" i="5"/>
  <c r="H605" i="5"/>
  <c r="H604" i="5" s="1"/>
  <c r="H603" i="5"/>
  <c r="H602" i="5" s="1"/>
  <c r="H600" i="5"/>
  <c r="H598" i="5"/>
  <c r="H597" i="5" s="1"/>
  <c r="H596" i="5"/>
  <c r="H595" i="5"/>
  <c r="H593" i="5"/>
  <c r="H592" i="5"/>
  <c r="H591" i="5"/>
  <c r="H533" i="5"/>
  <c r="H562" i="5"/>
  <c r="H590" i="5"/>
  <c r="H589" i="5"/>
  <c r="H701" i="5"/>
  <c r="H700" i="5" s="1"/>
  <c r="H702" i="5" s="1"/>
  <c r="H699" i="5"/>
  <c r="H698" i="5"/>
  <c r="H697" i="5"/>
  <c r="H696" i="5"/>
  <c r="H695" i="5"/>
  <c r="H670" i="5"/>
  <c r="H669" i="5"/>
  <c r="H668" i="5"/>
  <c r="H667" i="5"/>
  <c r="H666" i="5"/>
  <c r="H672" i="5"/>
  <c r="H671" i="5" s="1"/>
  <c r="H673" i="5" s="1"/>
  <c r="H641" i="5"/>
  <c r="H640" i="5"/>
  <c r="H639" i="5"/>
  <c r="H638" i="5"/>
  <c r="H637" i="5"/>
  <c r="H643" i="5"/>
  <c r="H642" i="5" s="1"/>
  <c r="H644" i="5" s="1"/>
  <c r="H612" i="5"/>
  <c r="H611" i="5"/>
  <c r="H610" i="5"/>
  <c r="H609" i="5"/>
  <c r="H608" i="5"/>
  <c r="H614" i="5"/>
  <c r="H613" i="5" s="1"/>
  <c r="H615" i="5" s="1"/>
  <c r="H583" i="5"/>
  <c r="H582" i="5"/>
  <c r="H581" i="5"/>
  <c r="H585" i="5"/>
  <c r="H584" i="5" s="1"/>
  <c r="H586" i="5" s="1"/>
  <c r="H580" i="5"/>
  <c r="H579" i="5"/>
  <c r="H556" i="5"/>
  <c r="H555" i="5" s="1"/>
  <c r="H557" i="5" s="1"/>
  <c r="H554" i="5"/>
  <c r="H553" i="5"/>
  <c r="H552" i="5"/>
  <c r="H551" i="5"/>
  <c r="H550" i="5"/>
  <c r="H527" i="5"/>
  <c r="H526" i="5" s="1"/>
  <c r="H528" i="5" s="1"/>
  <c r="H525" i="5"/>
  <c r="H524" i="5"/>
  <c r="H523" i="5"/>
  <c r="H521" i="5"/>
  <c r="H522" i="5"/>
  <c r="H498" i="5"/>
  <c r="H497" i="5" s="1"/>
  <c r="H499" i="5" s="1"/>
  <c r="H496" i="5"/>
  <c r="H495" i="5"/>
  <c r="H494" i="5"/>
  <c r="H493" i="5"/>
  <c r="H492" i="5"/>
  <c r="H576" i="5"/>
  <c r="H575" i="5" s="1"/>
  <c r="H574" i="5"/>
  <c r="H573" i="5" s="1"/>
  <c r="H571" i="5"/>
  <c r="H569" i="5"/>
  <c r="H568" i="5" s="1"/>
  <c r="H567" i="5"/>
  <c r="H566" i="5"/>
  <c r="H564" i="5"/>
  <c r="H563" i="5"/>
  <c r="H561" i="5"/>
  <c r="H560" i="5"/>
  <c r="H547" i="5"/>
  <c r="H546" i="5" s="1"/>
  <c r="H545" i="5"/>
  <c r="H544" i="5" s="1"/>
  <c r="H542" i="5"/>
  <c r="H540" i="5"/>
  <c r="H539" i="5" s="1"/>
  <c r="H538" i="5"/>
  <c r="H537" i="5"/>
  <c r="H535" i="5"/>
  <c r="H534" i="5"/>
  <c r="H532" i="5"/>
  <c r="H531" i="5"/>
  <c r="H518" i="5"/>
  <c r="H517" i="5" s="1"/>
  <c r="H516" i="5"/>
  <c r="H515" i="5" s="1"/>
  <c r="H513" i="5"/>
  <c r="H511" i="5"/>
  <c r="H510" i="5" s="1"/>
  <c r="H509" i="5"/>
  <c r="H508" i="5"/>
  <c r="H506" i="5"/>
  <c r="H505" i="5"/>
  <c r="H504" i="5"/>
  <c r="H503" i="5"/>
  <c r="H502" i="5"/>
  <c r="H489" i="5"/>
  <c r="H488" i="5" s="1"/>
  <c r="H487" i="5"/>
  <c r="H486" i="5" s="1"/>
  <c r="H484" i="5"/>
  <c r="H482" i="5"/>
  <c r="H481" i="5" s="1"/>
  <c r="H480" i="5"/>
  <c r="H479" i="5"/>
  <c r="H477" i="5"/>
  <c r="H476" i="5"/>
  <c r="H475" i="5"/>
  <c r="H474" i="5"/>
  <c r="H473" i="5"/>
  <c r="H469" i="5"/>
  <c r="H468" i="5" s="1"/>
  <c r="H470" i="5" s="1"/>
  <c r="H467" i="5"/>
  <c r="H466" i="5"/>
  <c r="H465" i="5"/>
  <c r="H464" i="5"/>
  <c r="H463" i="5"/>
  <c r="H402" i="5"/>
  <c r="H401" i="5" s="1"/>
  <c r="H400" i="5"/>
  <c r="H399" i="5" s="1"/>
  <c r="H397" i="5"/>
  <c r="H396" i="5" s="1"/>
  <c r="H398" i="5" s="1"/>
  <c r="H395" i="5"/>
  <c r="H394" i="5" s="1"/>
  <c r="H393" i="5"/>
  <c r="H392" i="5"/>
  <c r="H411" i="5"/>
  <c r="H410" i="5" s="1"/>
  <c r="H412" i="5" s="1"/>
  <c r="H431" i="5"/>
  <c r="H430" i="5" s="1"/>
  <c r="H429" i="5"/>
  <c r="H428" i="5" s="1"/>
  <c r="H426" i="5"/>
  <c r="H424" i="5"/>
  <c r="H423" i="5" s="1"/>
  <c r="H422" i="5"/>
  <c r="H421" i="5"/>
  <c r="H440" i="5"/>
  <c r="H439" i="5" s="1"/>
  <c r="H441" i="5" s="1"/>
  <c r="H460" i="5"/>
  <c r="H459" i="5" s="1"/>
  <c r="H458" i="5"/>
  <c r="H457" i="5" s="1"/>
  <c r="H455" i="5"/>
  <c r="H453" i="5"/>
  <c r="H452" i="5" s="1"/>
  <c r="H451" i="5"/>
  <c r="H450" i="5"/>
  <c r="H448" i="5"/>
  <c r="H447" i="5"/>
  <c r="H446" i="5"/>
  <c r="H445" i="5"/>
  <c r="H444" i="5"/>
  <c r="H438" i="5"/>
  <c r="H437" i="5"/>
  <c r="H436" i="5"/>
  <c r="H435" i="5"/>
  <c r="H434" i="5"/>
  <c r="H405" i="5"/>
  <c r="H406" i="5"/>
  <c r="H407" i="5"/>
  <c r="H408" i="5"/>
  <c r="H409" i="5"/>
  <c r="H419" i="5"/>
  <c r="H418" i="5"/>
  <c r="H417" i="5"/>
  <c r="H416" i="5"/>
  <c r="H415" i="5"/>
  <c r="H238" i="5"/>
  <c r="H237" i="5"/>
  <c r="H236" i="5"/>
  <c r="H235" i="5"/>
  <c r="H234" i="5"/>
  <c r="H233" i="5"/>
  <c r="H232" i="5"/>
  <c r="H231" i="5"/>
  <c r="H230" i="5"/>
  <c r="H229" i="5"/>
  <c r="H228" i="5"/>
  <c r="H227" i="5"/>
  <c r="H226" i="5"/>
  <c r="H225" i="5"/>
  <c r="H224" i="5"/>
  <c r="H223" i="5"/>
  <c r="H222" i="5"/>
  <c r="H221" i="5"/>
  <c r="H220" i="5"/>
  <c r="H219" i="5"/>
  <c r="H218" i="5"/>
  <c r="H217" i="5"/>
  <c r="H387" i="5"/>
  <c r="H390" i="5"/>
  <c r="H389" i="5"/>
  <c r="H388" i="5"/>
  <c r="H386" i="5"/>
  <c r="H382" i="5"/>
  <c r="H381" i="5"/>
  <c r="H380" i="5"/>
  <c r="H379" i="5"/>
  <c r="H378" i="5"/>
  <c r="H377" i="5"/>
  <c r="H376" i="5"/>
  <c r="H373" i="5"/>
  <c r="H374" i="5" s="1"/>
  <c r="H371" i="5"/>
  <c r="H372" i="5" s="1"/>
  <c r="H369" i="5"/>
  <c r="H370" i="5" s="1"/>
  <c r="H362" i="5"/>
  <c r="H361" i="5"/>
  <c r="H360" i="5"/>
  <c r="H357" i="5"/>
  <c r="H358" i="5" s="1"/>
  <c r="H355" i="5"/>
  <c r="H356" i="5" s="1"/>
  <c r="H353" i="5"/>
  <c r="H354" i="5" s="1"/>
  <c r="H346" i="5"/>
  <c r="H345" i="5"/>
  <c r="H344" i="5"/>
  <c r="H343" i="5"/>
  <c r="H342" i="5"/>
  <c r="H341" i="5"/>
  <c r="H338" i="5"/>
  <c r="H339" i="5" s="1"/>
  <c r="H336" i="5"/>
  <c r="H337" i="5" s="1"/>
  <c r="H334" i="5"/>
  <c r="H335" i="5" s="1"/>
  <c r="H327" i="5"/>
  <c r="H326" i="5"/>
  <c r="H325" i="5"/>
  <c r="H324" i="5"/>
  <c r="H323" i="5"/>
  <c r="H320" i="5"/>
  <c r="H321" i="5" s="1"/>
  <c r="H318" i="5"/>
  <c r="H319" i="5" s="1"/>
  <c r="H316" i="5"/>
  <c r="H317" i="5" s="1"/>
  <c r="H364" i="5"/>
  <c r="H366" i="5" s="1"/>
  <c r="H348" i="5"/>
  <c r="H350" i="5" s="1"/>
  <c r="H329" i="5"/>
  <c r="H331" i="5" s="1"/>
  <c r="H311" i="5"/>
  <c r="H313" i="5" s="1"/>
  <c r="H244" i="5"/>
  <c r="H243" i="5"/>
  <c r="H242" i="5"/>
  <c r="H241" i="5"/>
  <c r="H240" i="5"/>
  <c r="H239" i="5"/>
  <c r="H201" i="5"/>
  <c r="H200" i="5"/>
  <c r="H199" i="5"/>
  <c r="H198" i="5"/>
  <c r="H197" i="5"/>
  <c r="H196" i="5"/>
  <c r="H195" i="5"/>
  <c r="H194" i="5"/>
  <c r="H193" i="5"/>
  <c r="H192" i="5"/>
  <c r="H191" i="5"/>
  <c r="H190" i="5"/>
  <c r="H189" i="5"/>
  <c r="H188" i="5"/>
  <c r="H187" i="5"/>
  <c r="H186" i="5"/>
  <c r="H185" i="5"/>
  <c r="H184" i="5"/>
  <c r="H183" i="5"/>
  <c r="H182" i="5"/>
  <c r="H181" i="5"/>
  <c r="H180" i="5"/>
  <c r="H179" i="5"/>
  <c r="H178" i="5"/>
  <c r="H207" i="5"/>
  <c r="AA177" i="5"/>
  <c r="H211" i="5" s="1"/>
  <c r="H213" i="5" s="1"/>
  <c r="H214" i="5" s="1"/>
  <c r="H206" i="5"/>
  <c r="H205" i="5"/>
  <c r="H204" i="5"/>
  <c r="H203" i="5"/>
  <c r="H202" i="5"/>
  <c r="H247" i="5"/>
  <c r="H246" i="5"/>
  <c r="AA216" i="5"/>
  <c r="H248" i="5" s="1"/>
  <c r="H210" i="5"/>
  <c r="H209" i="5"/>
  <c r="H308" i="5"/>
  <c r="H307" i="5"/>
  <c r="H306" i="5"/>
  <c r="H304" i="5"/>
  <c r="H305" i="5" s="1"/>
  <c r="H302" i="5"/>
  <c r="H299" i="5"/>
  <c r="H300" i="5"/>
  <c r="H296" i="5"/>
  <c r="H297" i="5" s="1"/>
  <c r="H298" i="5" s="1"/>
  <c r="H294" i="5"/>
  <c r="H293" i="5"/>
  <c r="H292" i="5"/>
  <c r="H290" i="5"/>
  <c r="H291" i="5" s="1"/>
  <c r="H288" i="5"/>
  <c r="H285" i="5"/>
  <c r="H286" i="5"/>
  <c r="H282" i="5"/>
  <c r="H283" i="5" s="1"/>
  <c r="H284" i="5" s="1"/>
  <c r="H280" i="5"/>
  <c r="H279" i="5"/>
  <c r="H278" i="5"/>
  <c r="H276" i="5"/>
  <c r="H277" i="5" s="1"/>
  <c r="H274" i="5"/>
  <c r="H271" i="5"/>
  <c r="H272" i="5"/>
  <c r="H273" i="5" s="1"/>
  <c r="H260" i="5"/>
  <c r="H268" i="5"/>
  <c r="H269" i="5" s="1"/>
  <c r="H158" i="5"/>
  <c r="H163" i="5"/>
  <c r="H168" i="5"/>
  <c r="H167" i="5"/>
  <c r="H166" i="5"/>
  <c r="H165" i="5"/>
  <c r="H164" i="5"/>
  <c r="H162" i="5"/>
  <c r="H161" i="5"/>
  <c r="H160" i="5"/>
  <c r="H159" i="5"/>
  <c r="H157" i="5"/>
  <c r="H156" i="5"/>
  <c r="H155" i="5"/>
  <c r="H154" i="5"/>
  <c r="H153" i="5"/>
  <c r="H152" i="5"/>
  <c r="H151" i="5"/>
  <c r="H150" i="5"/>
  <c r="H149" i="5"/>
  <c r="H148" i="5"/>
  <c r="H147" i="5"/>
  <c r="H146" i="5"/>
  <c r="H145" i="5"/>
  <c r="H144" i="5"/>
  <c r="H143" i="5"/>
  <c r="H142" i="5"/>
  <c r="H141" i="5"/>
  <c r="H140" i="5"/>
  <c r="H139" i="5"/>
  <c r="H138" i="5"/>
  <c r="H137" i="5"/>
  <c r="H136" i="5"/>
  <c r="H135" i="5"/>
  <c r="H171" i="5"/>
  <c r="H170" i="5"/>
  <c r="AA134" i="5"/>
  <c r="H172" i="5" s="1"/>
  <c r="H257" i="5"/>
  <c r="H262" i="5"/>
  <c r="H263" i="5" s="1"/>
  <c r="H266" i="5"/>
  <c r="H265" i="5"/>
  <c r="H264" i="5"/>
  <c r="H254" i="5"/>
  <c r="H255" i="5" s="1"/>
  <c r="H258" i="5"/>
  <c r="AA89" i="5"/>
  <c r="H129" i="5" s="1"/>
  <c r="H130" i="5" s="1"/>
  <c r="H749" i="5" l="1"/>
  <c r="H750" i="5"/>
  <c r="H751" i="5" s="1"/>
  <c r="H756" i="5"/>
  <c r="H757" i="5" s="1"/>
  <c r="H737" i="5"/>
  <c r="H741" i="5" s="1"/>
  <c r="H742" i="5" s="1"/>
  <c r="H713" i="5"/>
  <c r="H714" i="5" s="1"/>
  <c r="H726" i="5"/>
  <c r="H727" i="5" s="1"/>
  <c r="H739" i="5"/>
  <c r="H740" i="5" s="1"/>
  <c r="H710" i="5"/>
  <c r="H717" i="5"/>
  <c r="H719" i="5" s="1"/>
  <c r="H720" i="5" s="1"/>
  <c r="H723" i="5"/>
  <c r="H730" i="5"/>
  <c r="H731" i="5" s="1"/>
  <c r="H736" i="5"/>
  <c r="H725" i="5"/>
  <c r="H715" i="5"/>
  <c r="H716" i="5" s="1"/>
  <c r="H758" i="5"/>
  <c r="H759" i="5" s="1"/>
  <c r="H745" i="5"/>
  <c r="H746" i="5" s="1"/>
  <c r="H686" i="5"/>
  <c r="H688" i="5" s="1"/>
  <c r="H536" i="5"/>
  <c r="H657" i="5"/>
  <c r="H659" i="5" s="1"/>
  <c r="H628" i="5"/>
  <c r="H630" i="5" s="1"/>
  <c r="H599" i="5"/>
  <c r="H601" i="5" s="1"/>
  <c r="H570" i="5"/>
  <c r="H572" i="5" s="1"/>
  <c r="H541" i="5"/>
  <c r="H543" i="5" s="1"/>
  <c r="H512" i="5"/>
  <c r="H514" i="5" s="1"/>
  <c r="H483" i="5"/>
  <c r="H485" i="5" s="1"/>
  <c r="H454" i="5"/>
  <c r="H456" i="5" s="1"/>
  <c r="H425" i="5"/>
  <c r="H427" i="5" s="1"/>
  <c r="H578" i="5"/>
  <c r="H449" i="5"/>
  <c r="H530" i="5"/>
  <c r="H681" i="5"/>
  <c r="H652" i="5"/>
  <c r="H623" i="5"/>
  <c r="H594" i="5"/>
  <c r="H565" i="5"/>
  <c r="H507" i="5"/>
  <c r="H478" i="5"/>
  <c r="H391" i="5"/>
  <c r="H420" i="5"/>
  <c r="H520" i="5"/>
  <c r="H636" i="5"/>
  <c r="H462" i="5"/>
  <c r="H704" i="5" a="1"/>
  <c r="H704" i="5" s="1"/>
  <c r="H706" i="5" s="1"/>
  <c r="H694" i="5"/>
  <c r="H385" i="5"/>
  <c r="H404" i="5"/>
  <c r="H433" i="5"/>
  <c r="H491" i="5"/>
  <c r="H549" i="5"/>
  <c r="H588" i="5"/>
  <c r="H414" i="5"/>
  <c r="H559" i="5"/>
  <c r="H607" i="5"/>
  <c r="H665" i="5"/>
  <c r="H646" i="5"/>
  <c r="H472" i="5"/>
  <c r="H501" i="5"/>
  <c r="H675" i="5"/>
  <c r="H443" i="5"/>
  <c r="H617" i="5"/>
  <c r="H365" i="5"/>
  <c r="H349" i="5"/>
  <c r="H330" i="5"/>
  <c r="H312" i="5"/>
  <c r="H216" i="5"/>
  <c r="H177" i="5"/>
  <c r="H250" i="5"/>
  <c r="H251" i="5" s="1"/>
  <c r="H249" i="5"/>
  <c r="H259" i="5"/>
  <c r="H212" i="5"/>
  <c r="H301" i="5"/>
  <c r="H287" i="5"/>
  <c r="H270" i="5"/>
  <c r="H134" i="5"/>
  <c r="H173" i="5"/>
  <c r="H174" i="5"/>
  <c r="H175" i="5" s="1"/>
  <c r="H256" i="5"/>
  <c r="H131" i="5"/>
  <c r="H132" i="5" s="1"/>
  <c r="H125" i="5"/>
  <c r="H124" i="5"/>
  <c r="H123" i="5"/>
  <c r="H122" i="5"/>
  <c r="H121" i="5"/>
  <c r="H120" i="5"/>
  <c r="H119" i="5"/>
  <c r="H118" i="5"/>
  <c r="H117" i="5"/>
  <c r="H116" i="5"/>
  <c r="H115" i="5"/>
  <c r="H114" i="5"/>
  <c r="H113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128" i="5"/>
  <c r="H80" i="5"/>
  <c r="H78" i="5"/>
  <c r="H77" i="5"/>
  <c r="H76" i="5"/>
  <c r="H73" i="5"/>
  <c r="H72" i="5"/>
  <c r="H71" i="5"/>
  <c r="H74" i="5" s="1"/>
  <c r="H69" i="5"/>
  <c r="H68" i="5"/>
  <c r="H67" i="5"/>
  <c r="H70" i="5" s="1"/>
  <c r="H79" i="5"/>
  <c r="H59" i="5"/>
  <c r="H58" i="5"/>
  <c r="H57" i="5"/>
  <c r="H56" i="5"/>
  <c r="H55" i="5"/>
  <c r="H52" i="5"/>
  <c r="H48" i="5"/>
  <c r="H31" i="5"/>
  <c r="H27" i="5"/>
  <c r="H10" i="5"/>
  <c r="H51" i="5"/>
  <c r="H50" i="5"/>
  <c r="H53" i="5" s="1"/>
  <c r="H47" i="5"/>
  <c r="H46" i="5"/>
  <c r="H49" i="5" s="1"/>
  <c r="H38" i="5"/>
  <c r="H37" i="5"/>
  <c r="H36" i="5"/>
  <c r="H35" i="5"/>
  <c r="H34" i="5"/>
  <c r="H29" i="5"/>
  <c r="H32" i="5" s="1"/>
  <c r="H30" i="5"/>
  <c r="H25" i="5"/>
  <c r="H28" i="5" s="1"/>
  <c r="H26" i="5"/>
  <c r="H8" i="5"/>
  <c r="H11" i="5" s="1"/>
  <c r="H9" i="5"/>
  <c r="H738" i="5" l="1"/>
  <c r="H754" i="5"/>
  <c r="H755" i="5" s="1"/>
  <c r="H718" i="5"/>
  <c r="H732" i="5"/>
  <c r="H733" i="5" s="1"/>
  <c r="H705" i="5"/>
  <c r="H89" i="5"/>
  <c r="H54" i="5"/>
  <c r="H63" i="5" s="1"/>
  <c r="H64" i="5" s="1"/>
  <c r="H127" i="5"/>
  <c r="H75" i="5"/>
  <c r="H84" i="5" s="1"/>
  <c r="H85" i="5" s="1"/>
  <c r="H33" i="5"/>
  <c r="H42" i="5" s="1"/>
  <c r="H44" i="5" s="1"/>
  <c r="H17" i="5"/>
  <c r="H16" i="5"/>
  <c r="H15" i="5"/>
  <c r="H13" i="5"/>
  <c r="H14" i="5"/>
  <c r="H65" i="5" l="1"/>
  <c r="H86" i="5"/>
  <c r="H43" i="5"/>
  <c r="H12" i="5"/>
  <c r="H21" i="5" s="1"/>
  <c r="X58" i="7"/>
  <c r="X59" i="7"/>
  <c r="X60" i="7"/>
  <c r="X61" i="7"/>
  <c r="X62" i="7"/>
  <c r="X63" i="7"/>
  <c r="X64" i="7"/>
  <c r="X65" i="7"/>
  <c r="X66" i="7"/>
  <c r="Y66" i="7" s="1"/>
  <c r="X67" i="7"/>
  <c r="Y67" i="7" s="1"/>
  <c r="X68" i="7"/>
  <c r="X69" i="7"/>
  <c r="X56" i="7"/>
  <c r="X42" i="7"/>
  <c r="X43" i="7"/>
  <c r="Y43" i="7" s="1"/>
  <c r="X44" i="7"/>
  <c r="X45" i="7"/>
  <c r="Y45" i="7" s="1"/>
  <c r="X46" i="7"/>
  <c r="X47" i="7"/>
  <c r="X48" i="7"/>
  <c r="X49" i="7"/>
  <c r="X50" i="7"/>
  <c r="X51" i="7"/>
  <c r="X52" i="7"/>
  <c r="X53" i="7"/>
  <c r="X54" i="7"/>
  <c r="X40" i="7"/>
  <c r="X22" i="7"/>
  <c r="X23" i="7"/>
  <c r="X24" i="7"/>
  <c r="X25" i="7"/>
  <c r="Y25" i="7" s="1"/>
  <c r="X26" i="7"/>
  <c r="X27" i="7"/>
  <c r="X28" i="7"/>
  <c r="X29" i="7"/>
  <c r="X30" i="7"/>
  <c r="X31" i="7"/>
  <c r="X32" i="7"/>
  <c r="X33" i="7"/>
  <c r="X34" i="7"/>
  <c r="X35" i="7"/>
  <c r="X36" i="7"/>
  <c r="X37" i="7"/>
  <c r="Y37" i="7" s="1"/>
  <c r="X38" i="7"/>
  <c r="X10" i="7"/>
  <c r="X11" i="7"/>
  <c r="X12" i="7"/>
  <c r="X13" i="7"/>
  <c r="X14" i="7"/>
  <c r="X15" i="7"/>
  <c r="X16" i="7"/>
  <c r="X17" i="7"/>
  <c r="X18" i="7"/>
  <c r="X19" i="7"/>
  <c r="X9" i="7"/>
  <c r="X8" i="7"/>
  <c r="X57" i="7"/>
  <c r="X41" i="7"/>
  <c r="X21" i="7"/>
  <c r="X7" i="7"/>
  <c r="E69" i="7"/>
  <c r="E68" i="7"/>
  <c r="E67" i="7"/>
  <c r="E66" i="7"/>
  <c r="E65" i="7"/>
  <c r="E64" i="7"/>
  <c r="E63" i="7"/>
  <c r="E62" i="7"/>
  <c r="E61" i="7"/>
  <c r="Y61" i="7" s="1"/>
  <c r="E60" i="7"/>
  <c r="E59" i="7"/>
  <c r="E58" i="7"/>
  <c r="E57" i="7"/>
  <c r="E56" i="7"/>
  <c r="E54" i="7"/>
  <c r="E53" i="7"/>
  <c r="E52" i="7"/>
  <c r="E51" i="7"/>
  <c r="E50" i="7"/>
  <c r="E49" i="7"/>
  <c r="E48" i="7"/>
  <c r="E47" i="7"/>
  <c r="E46" i="7"/>
  <c r="E45" i="7"/>
  <c r="E44" i="7"/>
  <c r="E42" i="7"/>
  <c r="Y42" i="7" s="1"/>
  <c r="E41" i="7"/>
  <c r="E40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Y21" i="7" s="1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H22" i="5" l="1"/>
  <c r="H23" i="5"/>
  <c r="Y46" i="7"/>
  <c r="Y62" i="7"/>
  <c r="Y47" i="7"/>
  <c r="Y41" i="7"/>
  <c r="Y33" i="7"/>
  <c r="Y63" i="7"/>
  <c r="Y48" i="7"/>
  <c r="Y23" i="7"/>
  <c r="Y34" i="7"/>
  <c r="Y22" i="7"/>
  <c r="Y56" i="7"/>
  <c r="Y32" i="7"/>
  <c r="Y57" i="7"/>
  <c r="Y49" i="7"/>
  <c r="Y35" i="7"/>
  <c r="Y60" i="7"/>
  <c r="Y68" i="7"/>
  <c r="Y10" i="7"/>
  <c r="Y12" i="7"/>
  <c r="Y15" i="7"/>
  <c r="Y65" i="7"/>
  <c r="Y64" i="7"/>
  <c r="Y58" i="7"/>
  <c r="Y69" i="7"/>
  <c r="Y59" i="7"/>
  <c r="Y31" i="7"/>
  <c r="Y44" i="7"/>
  <c r="Y50" i="7"/>
  <c r="Y36" i="7"/>
  <c r="Y18" i="7"/>
  <c r="Y30" i="7"/>
  <c r="Y24" i="7"/>
  <c r="Y16" i="7"/>
  <c r="Y40" i="7"/>
  <c r="Y29" i="7"/>
  <c r="Y54" i="7"/>
  <c r="Y28" i="7"/>
  <c r="Y27" i="7"/>
  <c r="Y52" i="7"/>
  <c r="Y53" i="7"/>
  <c r="Y38" i="7"/>
  <c r="Y26" i="7"/>
  <c r="Y51" i="7"/>
  <c r="Y17" i="7"/>
  <c r="Y8" i="7"/>
  <c r="Y11" i="7"/>
  <c r="Y9" i="7"/>
  <c r="Y19" i="7"/>
  <c r="Y7" i="7"/>
  <c r="Y13" i="7"/>
  <c r="Y14" i="7"/>
  <c r="E39" i="7"/>
  <c r="E20" i="7"/>
  <c r="E55" i="7"/>
  <c r="E6" i="7"/>
  <c r="Y55" i="7" l="1"/>
  <c r="Y39" i="7"/>
  <c r="Y20" i="7"/>
  <c r="Y6" i="7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<sst xmlns="http://schemas.openxmlformats.org/spreadsheetml/2006/main" count="4971" uniqueCount="515">
  <si>
    <t>Количество</t>
  </si>
  <si>
    <t>Наименование объектов, видов работ и затрат</t>
  </si>
  <si>
    <t>Единица измерения</t>
  </si>
  <si>
    <t>Выполнено работ</t>
  </si>
  <si>
    <t>Итого с начала строительства, в том числе отчетный месяц</t>
  </si>
  <si>
    <t>Остаток по договору</t>
  </si>
  <si>
    <t>Кол.-во фактически выполненных работ с начала строительства.</t>
  </si>
  <si>
    <t xml:space="preserve">Стоимость, (без НДС), руб. </t>
  </si>
  <si>
    <t>СМР</t>
  </si>
  <si>
    <t>МТР</t>
  </si>
  <si>
    <t>№№</t>
  </si>
  <si>
    <t>Стоимость ед. (руб. без НДС)</t>
  </si>
  <si>
    <t xml:space="preserve">Стоимость работ (ВСЕГО) руб. без НДС </t>
  </si>
  <si>
    <t>Обоснование</t>
  </si>
  <si>
    <t>З1</t>
  </si>
  <si>
    <t>Стоимость фактически выполненных работ с начала строительства,                 (без ндс), руб.</t>
  </si>
  <si>
    <t>Номенклатурный код (для оборудования и материалов Заказчика)</t>
  </si>
  <si>
    <t>Период</t>
  </si>
  <si>
    <t>Вид/подвид  работ Управленческого учета</t>
  </si>
  <si>
    <t>Изыскательские работы</t>
  </si>
  <si>
    <t xml:space="preserve">Проектные работы </t>
  </si>
  <si>
    <t>Экспертиза проектной документации</t>
  </si>
  <si>
    <t>Испытание свай</t>
  </si>
  <si>
    <t>Демонтажные работы</t>
  </si>
  <si>
    <t>Вертикальная планировка</t>
  </si>
  <si>
    <t>Устройство ограждения СП</t>
  </si>
  <si>
    <t>Устройство временных зданий, сооружений и проездов</t>
  </si>
  <si>
    <t>Электроснабжение, освещение, интернет и видеонаблюдение СП</t>
  </si>
  <si>
    <t>Свайные основания</t>
  </si>
  <si>
    <t>фундаменты (ростверки, плиты)</t>
  </si>
  <si>
    <t>Термостабилизаторы</t>
  </si>
  <si>
    <t>Каркас</t>
  </si>
  <si>
    <t>Стены (наружные, несущие)</t>
  </si>
  <si>
    <t>Перекрытия</t>
  </si>
  <si>
    <t>Утепление перекрытий</t>
  </si>
  <si>
    <t>Огнезащита</t>
  </si>
  <si>
    <t>Кровля</t>
  </si>
  <si>
    <t>Окна</t>
  </si>
  <si>
    <t xml:space="preserve">Перегородки </t>
  </si>
  <si>
    <t>Фасад</t>
  </si>
  <si>
    <t>Двери наружные</t>
  </si>
  <si>
    <t>Стяжка</t>
  </si>
  <si>
    <t>Черновая</t>
  </si>
  <si>
    <t xml:space="preserve">Чистовая </t>
  </si>
  <si>
    <t>Двери внутренние</t>
  </si>
  <si>
    <t>Ограждения</t>
  </si>
  <si>
    <t>Газоснабжение</t>
  </si>
  <si>
    <t>Вентиляция</t>
  </si>
  <si>
    <t>Отопление</t>
  </si>
  <si>
    <t>Водоснабжение</t>
  </si>
  <si>
    <t>Электроснабжение</t>
  </si>
  <si>
    <t>Канализация</t>
  </si>
  <si>
    <t>Слаботочные сети</t>
  </si>
  <si>
    <t>Подъемные механизмы</t>
  </si>
  <si>
    <t>Теплоснабжение</t>
  </si>
  <si>
    <t>Освещение</t>
  </si>
  <si>
    <t>Конвертовка и отмостка</t>
  </si>
  <si>
    <t>Проезды и тротуары</t>
  </si>
  <si>
    <t>Детские спортивные площадки, МАФы, ограждения</t>
  </si>
  <si>
    <t>Озелениение</t>
  </si>
  <si>
    <t>Ограждение</t>
  </si>
  <si>
    <t>МГН</t>
  </si>
  <si>
    <t>Технологическое оборудование</t>
  </si>
  <si>
    <t xml:space="preserve">Стоимость,                   (без НДС), руб. </t>
  </si>
  <si>
    <t>Дог.</t>
  </si>
  <si>
    <t>Многоквартирный жилой дом, расположенный по адресу: ул. Восход, г. Салехард, ЯНАО</t>
  </si>
  <si>
    <t>Прочие</t>
  </si>
  <si>
    <t>количество * вес за 1 ед * перерасход 3%</t>
  </si>
  <si>
    <t>площадь по низу * высоту</t>
  </si>
  <si>
    <t>шт</t>
  </si>
  <si>
    <t>Плита перекрытия ПБ 63.15-12.5 железобетонная по ГОСТ 9561-2016</t>
  </si>
  <si>
    <t>Плита перекрытия ПБ 63.12-12.5 железобетонная по ГОСТ 9561-2016</t>
  </si>
  <si>
    <t>Плита перекрытия ПБ 63.10-12.5 железобетонная по ГОСТ 9561-2016</t>
  </si>
  <si>
    <t>Плита перекрытия ПБ 28.10-12.5 железобетонная по ГОСТ 9561-2016</t>
  </si>
  <si>
    <t>Плита перекрытия ПБ 19.15-8 железобетонная по ГОСТ 9561-2016</t>
  </si>
  <si>
    <t>Плита перекрытия ПБ 19.12-8 железобетонная по ГОСТ 9561-2016</t>
  </si>
  <si>
    <t>Плита перекрытия ПБ 19.10-8 железобетонная по ГОСТ 9561-2016</t>
  </si>
  <si>
    <t>Плита перекрытия ПБ 39.15-12.5 железобетонная по ГОСТ 9561-2016</t>
  </si>
  <si>
    <t>Плита перекрытия ПБ 28.15-12.5 железобетонная по ГОСТ 9561-2016</t>
  </si>
  <si>
    <t>Плита перекрытия ПБ 40.12-12.5 железобетонная по ГОСТ 9561-2016</t>
  </si>
  <si>
    <t>Плита перекрытия ПБ 40.15-12.5 железобетонная по ГОСТ 9561-2016</t>
  </si>
  <si>
    <t>Плита перекрытия ПБ 40.10-12.5 железобетонная по ГОСТ 9561-2016</t>
  </si>
  <si>
    <t>Плита перекрытия ПБ 2-21.15-8К7 железобетонная по ГОСТ 9561-2016</t>
  </si>
  <si>
    <t>Плита перекрытия ПБ 76.12-12.5 железобетонная по ГОСТ 9561-2016</t>
  </si>
  <si>
    <t>Плита перекрытия ПБ 76.15-12.5 железобетонная по ГОСТ 9561-2016</t>
  </si>
  <si>
    <t>Плита перекрытия ПБ 76.10-12.5 железобетонная по ГОСТ 9561-2016</t>
  </si>
  <si>
    <t>Плита перекрытия ПБ 53.15-12.5 железобетонная по ГОСТ 9561-2016</t>
  </si>
  <si>
    <t>Плита перекрытия ПБ 53.12-12.5 железобетонная по ГОСТ 9561-2016</t>
  </si>
  <si>
    <t>Плита перекрытия ПБ 53.10-12.5 железобетонная по ГОСТ 9561-2016</t>
  </si>
  <si>
    <t>м3</t>
  </si>
  <si>
    <t>Укладка плит перекрытия монолитных железобетонных. Секция 1. Этаж 1-4</t>
  </si>
  <si>
    <t>Укладка плит перекрытия монолитных железобетонных. Секция 2. Этаж 1-4</t>
  </si>
  <si>
    <t>Укладка плит перекрытия монолитных железобетонных. Секция 3. Этаж 1-4</t>
  </si>
  <si>
    <t>Укладка плит перекрытия монолитных железобетонных. Секция 4. Этаж 1-4</t>
  </si>
  <si>
    <t>1.1</t>
  </si>
  <si>
    <t>1.2</t>
  </si>
  <si>
    <t>2.1</t>
  </si>
  <si>
    <t>3.1</t>
  </si>
  <si>
    <t>3.2</t>
  </si>
  <si>
    <t>3.3</t>
  </si>
  <si>
    <t>3.4</t>
  </si>
  <si>
    <t>4.1</t>
  </si>
  <si>
    <t>4.2</t>
  </si>
  <si>
    <t>5.1</t>
  </si>
  <si>
    <r>
      <t xml:space="preserve">Арматура </t>
    </r>
    <r>
      <rPr>
        <sz val="10"/>
        <rFont val="Calibri"/>
        <family val="2"/>
        <charset val="204"/>
      </rPr>
      <t>Ø</t>
    </r>
    <r>
      <rPr>
        <sz val="8.5"/>
        <rFont val="Times New Roman"/>
        <family val="1"/>
        <charset val="204"/>
      </rPr>
      <t>12 А500С ГОСТ 34028-2016</t>
    </r>
  </si>
  <si>
    <t>кг</t>
  </si>
  <si>
    <t>Закладная деталь МН126-6 Серия 1.400-15 в.1</t>
  </si>
  <si>
    <r>
      <t>м</t>
    </r>
    <r>
      <rPr>
        <sz val="11"/>
        <rFont val="Calibri"/>
        <family val="2"/>
        <charset val="204"/>
      </rPr>
      <t>³</t>
    </r>
  </si>
  <si>
    <t>Бетон B25, F150, W6 ГОСТ 26633-2015</t>
  </si>
  <si>
    <t>Двутавр 20К2 ГОСТ 57837-2017 С345-3 ГОСТ 27772-2015</t>
  </si>
  <si>
    <t>тн</t>
  </si>
  <si>
    <t>Лист 10х140х200 ГОСТ 19903-2017 С345-3 ГОСТ 27772-2015</t>
  </si>
  <si>
    <t>Лист 8х96х176 ГОСТ 19903-2017 С345-3 ГОСТ 27772-2015</t>
  </si>
  <si>
    <r>
      <t>м</t>
    </r>
    <r>
      <rPr>
        <sz val="11"/>
        <rFont val="Calibri"/>
        <family val="2"/>
        <charset val="204"/>
      </rPr>
      <t>²</t>
    </r>
  </si>
  <si>
    <t>Квадратная труба 160х160х5 ГОСТ 30245-2012 С345-3 ГОСТ 27772-2015</t>
  </si>
  <si>
    <t>Квадратная труба 120х120х5 ГОСТ 30245-2012 С345-3 ГОСТ 27772-2015</t>
  </si>
  <si>
    <t>Толь (в два слоя)</t>
  </si>
  <si>
    <t>1.3</t>
  </si>
  <si>
    <t>Грунтовка ГФ-021 ГОСТ 25129-2020</t>
  </si>
  <si>
    <t>м²</t>
  </si>
  <si>
    <t>Нанесение антикоррозийной защиты на металлоконструкции (общая толщина покрытия 55 мкм), с предварительной очисткой не ниже степени 3</t>
  </si>
  <si>
    <t>Эмаль ПФ-115 ГОСТ 6465-2023 (в два слоя)</t>
  </si>
  <si>
    <t>расход 80 г/м², технологические потери 13%</t>
  </si>
  <si>
    <t>расход 140 г/м², технологические потери 13%</t>
  </si>
  <si>
    <t>Болт М16х200 (шайба, гайка, в комплекте)</t>
  </si>
  <si>
    <t xml:space="preserve">технологические потери 5% </t>
  </si>
  <si>
    <t>коэффициента запаса 4%</t>
  </si>
  <si>
    <t>норма отходов на обрезь 3%</t>
  </si>
  <si>
    <t>м³</t>
  </si>
  <si>
    <t>2.2</t>
  </si>
  <si>
    <t>2.3</t>
  </si>
  <si>
    <t>2.4</t>
  </si>
  <si>
    <t>4.3</t>
  </si>
  <si>
    <t>4.4</t>
  </si>
  <si>
    <t>Ⅰ</t>
  </si>
  <si>
    <t>Ⅱ</t>
  </si>
  <si>
    <t>Ⅲ</t>
  </si>
  <si>
    <t>Элементы стропильной конструкции</t>
  </si>
  <si>
    <t>Секция 1. Элементы стропильной конструкции</t>
  </si>
  <si>
    <t>396/08/24-В-П-КР.ГЧ Лист 58, 59, 60, 61</t>
  </si>
  <si>
    <t>Нанесение антикоррозийной защиты на стальные элементы (общая толщина покрытия 55 мкм)</t>
  </si>
  <si>
    <t>Брус 100х200х4580 мм (Стропила) хвойных пород по ГОСТ 8486-86 и ГОСТ 24454-80 с влажностью не более 20%, категория не ниже 2-ого сорта</t>
  </si>
  <si>
    <t>Брус 100х200 мм (Стропила) хвойных пород по ГОСТ 8486-86 и ГОСТ 24454-80 с влажностью не более 20%, категория не ниже 2-ого сорта</t>
  </si>
  <si>
    <t>Брус 100х200х8220 мм (Стропила) хвойных пород по ГОСТ 8486-86 и ГОСТ 24454-80 с влажностью не более 20%, категория не ниже 2-ого сорта</t>
  </si>
  <si>
    <t>Брус 100х200х3900 мм (Стропила) хвойных пород по ГОСТ 8486-86 и ГОСТ 24454-80 с влажностью не более 20%, категория не ниже 2-ого сорта</t>
  </si>
  <si>
    <t>Брус 100х200х5125 мм (Стропила) хвойных пород по ГОСТ 8486-86 и ГОСТ 24454-80 с влажностью не более 20%, категория не ниже 2-ого сорта</t>
  </si>
  <si>
    <t>Брус 100х200х8340 мм (Стропила) хвойных пород по ГОСТ 8486-86 и ГОСТ 24454-80 с влажностью не более 20%, категория не ниже 2-ого сорта</t>
  </si>
  <si>
    <t>Брус 100х200х9300 мм (Стропила) хвойных пород по ГОСТ 8486-86 и ГОСТ 24454-80 с влажностью не более 20%, категория не ниже 2-ого сорта</t>
  </si>
  <si>
    <t>Брус 100х200х9420 мм (Стропила) хвойных пород по ГОСТ 8486-86 и ГОСТ 24454-80 с влажностью не более 20%, категория не ниже 2-ого сорта</t>
  </si>
  <si>
    <t>Брус 100х150 мм (Стропила) хвойных пород по ГОСТ 8486-86 и ГОСТ 24454-80 с влажностью не более 20%, категория не ниже 2-ого сорта</t>
  </si>
  <si>
    <t>Брус 100х100х1640 мм (Балка) хвойных пород по ГОСТ 8486-86 и ГОСТ 24454-80 с влажностью не более 20%, категория не ниже 2-ого сорта</t>
  </si>
  <si>
    <t>Брус 100х100х1330 мм (Балка) хвойных пород по ГОСТ 8486-86 и ГОСТ 24454-80 с влажностью не более 20%, категория не ниже 2-ого сорта</t>
  </si>
  <si>
    <t>Брус 100х150х3135 мм (Стойка) хвойных пород по ГОСТ 8486-86 и ГОСТ 24454-80 с влажностью не более 20%, категория не ниже 2-ого сорта</t>
  </si>
  <si>
    <t>Брус 150х150х2080 мм (Стойка) хвойных пород по ГОСТ 8486-86 и ГОСТ 24454-80 с влажностью не более 20%, категория не ниже 2-ого сорта</t>
  </si>
  <si>
    <t>Брус 150х150х1840 мм (Стойка) хвойных пород по ГОСТ 8486-86 и ГОСТ 24454-80 с влажностью не более 20%, категория не ниже 2-ого сорта</t>
  </si>
  <si>
    <t>Брус 150х150х2130 мм (Стойка) хвойных пород по ГОСТ 8486-86 и ГОСТ 24454-80 с влажностью не более 20%, категория не ниже 2-ого сорта</t>
  </si>
  <si>
    <t>Брус 100х100 мм (Стойка) хвойных пород по ГОСТ 8486-86 и ГОСТ 24454-80 с влажностью не более 20%, категория не ниже 2-ого сорта</t>
  </si>
  <si>
    <t>Брус 150х150 мм (Прогон) хвойных пород по ГОСТ 8486-86 и ГОСТ 24454-80 с влажностью не более 20%, категория не ниже 2-ого сорта</t>
  </si>
  <si>
    <t>Брус 100х150 мм (Прогон) хвойных пород по ГОСТ 8486-86 и ГОСТ 24454-80 с влажностью не более 20%, категория не ниже 2-ого сорта</t>
  </si>
  <si>
    <t>Брус 150х200 мм (Диагональная нога) хвойных пород по ГОСТ 8486-86 и ГОСТ 24454-80 с влажностью не более 20%, категория не ниже 2-ого сорта</t>
  </si>
  <si>
    <t>Брус 100х150 мм (Подкос) хвойных пород по ГОСТ 8486-86 и ГОСТ 24454-80 с влажностью не более 20%, категория не ниже 2-ого сорта</t>
  </si>
  <si>
    <t>Доска обрезная 50х150 мм (Накладка) хвойных пород по ГОСТ 8486-86 и ГОСТ 24454-80 с влажностью не более 20%, категория не ниже 2-ого сорта</t>
  </si>
  <si>
    <t>Брус 40х40 мм (Контрейка) хвойных пород по ГОСТ 8486-86 и ГОСТ 24454-80 с влажностью не более 20%, категория не ниже 2-ого сорта</t>
  </si>
  <si>
    <t>Брус 100х125 мм (Мауэрлат) хвойных пород по ГОСТ 8486-86 и ГОСТ 24454-80 с влажностью не более 20%, категория не ниже 2-ого сорта</t>
  </si>
  <si>
    <t>5.3</t>
  </si>
  <si>
    <t>Брус 50х100х500 мм (Упорный брусок) хвойных пород по ГОСТ 8486-86 и ГОСТ 24454-80 с влажностью не более 20%, категория не ниже 2-ого сорта</t>
  </si>
  <si>
    <t>Брус 40х40 мм (Контрейка) хвойных пород по ГОСТ 8486-86 и ГОСТ 24454-80 с влажностью не более 20%, категория не ниже 2-ого сорта (слуховое окно)</t>
  </si>
  <si>
    <t>Брус 100х100 мм хвойных пород по ГОСТ 8486-86 и ГОСТ 24454-80 с влажностью не более 20%, категория не ниже 2-ого сорта (слуховое окно)</t>
  </si>
  <si>
    <t>Брус 75х100 мм хвойных пород по ГОСТ 8486-86 и ГОСТ 24454-80 с влажностью не более 20%, категория не ниже 2-ого сорта (слуховое окно)</t>
  </si>
  <si>
    <t>Брус 50х100 мм хвойных пород по ГОСТ 8486-86 и ГОСТ 24454-80 с влажностью не более 20%, категория не ниже 2-ого сорта (слуховое окно)</t>
  </si>
  <si>
    <t>потери при изготовлении 15%</t>
  </si>
  <si>
    <t>Гидро-ветрозащитная мембрана ИЗОСПАН AQ proff (или аналог)</t>
  </si>
  <si>
    <t>с учетом провиса в 20 мм (8%) и с учетом нахлёста 150 мм  (12%)</t>
  </si>
  <si>
    <t>5.2</t>
  </si>
  <si>
    <t>Наружное покрытие крыши</t>
  </si>
  <si>
    <t>Секция 1. Наружное покрытие крыши</t>
  </si>
  <si>
    <t>Секция 2. Элементы стропильной конструкции</t>
  </si>
  <si>
    <t>6.1</t>
  </si>
  <si>
    <t>Укладка гидроизоляционного материала по стропилам, с фиксацией вдоль карниза и герметизацией швов</t>
  </si>
  <si>
    <t>Соединительная лента для пароизоляции и гидроветрозащиты односторонняя 60 мм х 20 м</t>
  </si>
  <si>
    <t>Герметизирующая лента самоклеящаяся 10 см x 10 м (или аналог)</t>
  </si>
  <si>
    <t>Био-огнезащитный состав обеспечивающий 2 группу огнезащитной эффективности  по ГОСТ Р 53292-2009</t>
  </si>
  <si>
    <t>м2</t>
  </si>
  <si>
    <t>расход не менее 300 г/м²</t>
  </si>
  <si>
    <t>л</t>
  </si>
  <si>
    <t>5.4</t>
  </si>
  <si>
    <t>Гидроизоляция участков деревянных конструкций в местах соприкасания с кирпичной кладкой или металлом</t>
  </si>
  <si>
    <t>с учетом нахлёста 12%</t>
  </si>
  <si>
    <t>от общей площади деревянных конструкций 3%</t>
  </si>
  <si>
    <t>Стальной металлический сайдинг оцинкованный</t>
  </si>
  <si>
    <t>Металлочерепица МП</t>
  </si>
  <si>
    <t>Кровельные саморезы с пресс-шайбой и каучуковым уплотнителем</t>
  </si>
  <si>
    <t>с учетом нахлёста 200 мм и свеса 50 мм - 20%</t>
  </si>
  <si>
    <t>м</t>
  </si>
  <si>
    <t>396/08/24-В-П-КР.ГЧ Лист 56, 57</t>
  </si>
  <si>
    <t>Планка угла внутреннего простая для металлосайдинга КД 30х30</t>
  </si>
  <si>
    <t>Планка угла внешнего простая для металлосайдинга КД 30х30</t>
  </si>
  <si>
    <t>Планка карнизного свеса 250х50</t>
  </si>
  <si>
    <t>запас на подрезку 15%</t>
  </si>
  <si>
    <t>Коньковая планка</t>
  </si>
  <si>
    <t>7.1</t>
  </si>
  <si>
    <t>7.2</t>
  </si>
  <si>
    <t>7.3</t>
  </si>
  <si>
    <t>7.4</t>
  </si>
  <si>
    <t>Карнизная планка</t>
  </si>
  <si>
    <t>коэффициент 1,103, при уклоне 46,6%</t>
  </si>
  <si>
    <t>6.2</t>
  </si>
  <si>
    <t>6.3</t>
  </si>
  <si>
    <t>6.4</t>
  </si>
  <si>
    <t>Брус 100х200х7670 мм (Стропила) хвойных пород по ГОСТ 8486-86 и ГОСТ 24454-80 с влажностью не более 20%, категория не ниже 2-ого сорта</t>
  </si>
  <si>
    <t>Брус 100х150х2675 мм (Стойка) хвойных пород по ГОСТ 8486-86 и ГОСТ 24454-80 с влажностью не более 20%, категория не ниже 2-ого сорта</t>
  </si>
  <si>
    <t>Доска обрезная 50х150х1610 мм (Кобылка) хвойных пород по ГОСТ 8486-86 и ГОСТ 24454-80 с влажностью не более 20%, категория не ниже 2-ого сорта</t>
  </si>
  <si>
    <t>Доска обрезная 50х150х2050 мм (Кобылка) хвойных пород по ГОСТ 8486-86 и ГОСТ 24454-80 с влажностью не более 20%, категория не ниже 2-ого сорта</t>
  </si>
  <si>
    <t>Доска обрезная 25х150 мм (Связи) хвойных пород по ГОСТ 8486-86 и ГОСТ 24454-80 с влажностью не более 20%, категория не ниже 2-ого сорта</t>
  </si>
  <si>
    <t>Доска обрезная 75х250 мм (Лежень) хвойных пород по ГОСТ 8486-86 и ГОСТ 24454-80 с влажностью не более 20%, категория не ниже 2-ого сорта</t>
  </si>
  <si>
    <t>Доска обрезная 40х100 мм (Обрешетка) хвойных пород по ГОСТ 8486-86 и ГОСТ 24454-80 с влажностью не более 20%, категория не ниже 2-ого сорта</t>
  </si>
  <si>
    <t>Доска обрезная 25х150 мм (Ветровые связи) хвойных пород по ГОСТ 8486-86 и ГОСТ 24454-80 с влажностью не более 20%, категория не ниже 2-ого сорта</t>
  </si>
  <si>
    <t>Доска обрезная 40х100 мм (Обрешетка) хвойных пород по ГОСТ 8486-86 и ГОСТ 24454-80 с влажностью не более 20%, категория не ниже 2-ого сорта (слуховое окно)</t>
  </si>
  <si>
    <t>Брус 150х150х2675 мм (Стойка) хвойных пород по ГОСТ 8486-86 и ГОСТ 24454-80 с влажностью не более 20%, категория не ниже 2-ого сорта</t>
  </si>
  <si>
    <t>Брус 150х150х3135 мм (Стойка) хвойных пород по ГОСТ 8486-86 и ГОСТ 24454-80 с влажностью не более 20%, категория не ниже 2-ого сорта</t>
  </si>
  <si>
    <t>Брус 150х150х1710 мм (Стойка) хвойных пород по ГОСТ 8486-86 и ГОСТ 24454-80 с влажностью не более 20%, категория не ниже 2-ого сорта</t>
  </si>
  <si>
    <t>Брус 150х150х1000 мм (Стойка) хвойных пород по ГОСТ 8486-86 и ГОСТ 24454-80 с влажностью не более 20%, категория не ниже 2-ого сорта</t>
  </si>
  <si>
    <t>Брус 150х150х1830 мм (Стойка) хвойных пород по ГОСТ 8486-86 и ГОСТ 24454-80 с влажностью не более 20%, категория не ниже 2-ого сорта</t>
  </si>
  <si>
    <t>Брус 150х150х1990 мм (Стойка) хвойных пород по ГОСТ 8486-86 и ГОСТ 24454-80 с влажностью не более 20%, категория не ниже 2-ого сорта</t>
  </si>
  <si>
    <t>Секция 2. Наружное покрытие крыши</t>
  </si>
  <si>
    <t>Секция 3. Наружное покрытие крыши</t>
  </si>
  <si>
    <t>Секция 4. Наружное покрытие крыши</t>
  </si>
  <si>
    <t>Балки под стойки стропильной конструкции</t>
  </si>
  <si>
    <t>Секция 1. Балки под стойки стропильной конструкции</t>
  </si>
  <si>
    <t>Секция 2. Балки под стойки стропильной конструкции</t>
  </si>
  <si>
    <t>Секция 3. Балки под стойки стропильной конструкции</t>
  </si>
  <si>
    <t>Секция 4. Балки под стойки стропильной конструкции</t>
  </si>
  <si>
    <t>Секция 3. Элементы стропильной конструкции</t>
  </si>
  <si>
    <t>Секция 4. Элементы стропильной конструкции</t>
  </si>
  <si>
    <t>8.1</t>
  </si>
  <si>
    <t>8.2</t>
  </si>
  <si>
    <t>8.3</t>
  </si>
  <si>
    <t>8.4</t>
  </si>
  <si>
    <t>9.1</t>
  </si>
  <si>
    <t>9.2</t>
  </si>
  <si>
    <t>9.3</t>
  </si>
  <si>
    <t>10.1</t>
  </si>
  <si>
    <t>10.2</t>
  </si>
  <si>
    <t>10.3</t>
  </si>
  <si>
    <t>11.1</t>
  </si>
  <si>
    <t>11.2</t>
  </si>
  <si>
    <t>11.3</t>
  </si>
  <si>
    <t>12.1</t>
  </si>
  <si>
    <t>12.2</t>
  </si>
  <si>
    <t>12.3</t>
  </si>
  <si>
    <t>Брус 100х200х6570 мм (Стропила) хвойных пород по ГОСТ 8486-86 и ГОСТ 24454-80 с влажностью не более 20%, категория не ниже 2-ого сорта</t>
  </si>
  <si>
    <t>Доска обрезная 50х150х2700 мм (Кобылка) хвойных пород по ГОСТ 8486-86 и ГОСТ 24454-80 с влажностью не более 20%, категория не ниже 2-ого сорта</t>
  </si>
  <si>
    <t>Брус 150х150х2470 мм (Стойка) хвойных пород по ГОСТ 8486-86 и ГОСТ 24454-80 с влажностью не более 20%, категория не ниже 2-ого сорта</t>
  </si>
  <si>
    <t>Брус 150х150х1600 мм (Стойка) хвойных пород по ГОСТ 8486-86 и ГОСТ 24454-80 с влажностью не более 20%, категория не ниже 2-ого сорта</t>
  </si>
  <si>
    <t>Брус 100х200х3100 мм (Стропила) хвойных пород по ГОСТ 8486-86 и ГОСТ 24454-80 с влажностью не более 20%, категория не ниже 2-ого сорта</t>
  </si>
  <si>
    <t>Брус 150х150х2700 мм (Стойка) хвойных пород по ГОСТ 8486-86 и ГОСТ 24454-80 с влажностью не более 20%, категория не ниже 2-ого сорта</t>
  </si>
  <si>
    <t>Монтаж вспомогательных кровельных конструкций</t>
  </si>
  <si>
    <t>Секция 1. Монтаж вспомогательных кровельных конструкций</t>
  </si>
  <si>
    <t>396/08/24-В-П-КР.ГЧ Лист 8</t>
  </si>
  <si>
    <t>Ⅳ</t>
  </si>
  <si>
    <t>13.1</t>
  </si>
  <si>
    <t>14.1</t>
  </si>
  <si>
    <t>15.1</t>
  </si>
  <si>
    <t>16.1</t>
  </si>
  <si>
    <t>Секция 2. Монтаж вспомогательных кровельных конструкций</t>
  </si>
  <si>
    <t>Секция 3. Монтаж вспомогательных кровельных конструкций</t>
  </si>
  <si>
    <t>Секция 4. Монтаж вспомогательных кровельных конструкций</t>
  </si>
  <si>
    <t>13.2</t>
  </si>
  <si>
    <t xml:space="preserve">Монтаж трубчатого снегозадержателя </t>
  </si>
  <si>
    <t>Снегозадержатель трубчатый 3000/1000 мм</t>
  </si>
  <si>
    <t>Ограждение кровельное ОК-h600х1860 мм</t>
  </si>
  <si>
    <t>13.3</t>
  </si>
  <si>
    <t>13.4</t>
  </si>
  <si>
    <t>Устройство переходных мостиков</t>
  </si>
  <si>
    <t>Переходный мостик 1250 мм</t>
  </si>
  <si>
    <t>13.5</t>
  </si>
  <si>
    <t>Монтаж кровельных лестниц</t>
  </si>
  <si>
    <t>16.2</t>
  </si>
  <si>
    <t>16.3</t>
  </si>
  <si>
    <t>16.4</t>
  </si>
  <si>
    <t>16.5</t>
  </si>
  <si>
    <t>15.2</t>
  </si>
  <si>
    <t>15.3</t>
  </si>
  <si>
    <t>15.4</t>
  </si>
  <si>
    <t>15.5</t>
  </si>
  <si>
    <t>14.2</t>
  </si>
  <si>
    <t>14.3</t>
  </si>
  <si>
    <t>14.4</t>
  </si>
  <si>
    <t>14.5</t>
  </si>
  <si>
    <t>Ⅴ</t>
  </si>
  <si>
    <t>17.1</t>
  </si>
  <si>
    <t>Планка деформационного шва</t>
  </si>
  <si>
    <t>Устройство вентшахт ВШ1</t>
  </si>
  <si>
    <t>Установка вентиляционных зонтов КВ1</t>
  </si>
  <si>
    <t>17.2</t>
  </si>
  <si>
    <t>396/08/24-В-П-КР.ГЧ Лист 6, 72, 73, 74, 75</t>
  </si>
  <si>
    <t>17.3</t>
  </si>
  <si>
    <t>17.4</t>
  </si>
  <si>
    <t>17.5</t>
  </si>
  <si>
    <t>17.6</t>
  </si>
  <si>
    <t>Устройство вентшахт ВШ2</t>
  </si>
  <si>
    <t>Устройство вентшахт ВШ3</t>
  </si>
  <si>
    <t>Устройство вентшахт ВШ4</t>
  </si>
  <si>
    <t>Устройство вентшахт ВШ5</t>
  </si>
  <si>
    <t>Устройство вентшахт ВШ6</t>
  </si>
  <si>
    <t>Устройство вентшахт ВШ7</t>
  </si>
  <si>
    <t>Устройство вентшахт ВШ8</t>
  </si>
  <si>
    <t>Устройство вентшахт ВШ9</t>
  </si>
  <si>
    <t>Устройство вентшахт ВШ10</t>
  </si>
  <si>
    <t>Устройство вентшахт ВШ11</t>
  </si>
  <si>
    <t>Установка вентиляционных зонтов КВ2</t>
  </si>
  <si>
    <t>Установка вентиляционных зонтов КВ3</t>
  </si>
  <si>
    <t>Установка вентиляционных зонтов КВ4</t>
  </si>
  <si>
    <t>Установка вентиляционных зонтов КВ5</t>
  </si>
  <si>
    <t>Установка вентиляционных зонтов КВ6</t>
  </si>
  <si>
    <t>Установка вентиляционных зонтов КВ7</t>
  </si>
  <si>
    <t>Установка вентиляционных зонтов КВ8</t>
  </si>
  <si>
    <t>Установка вентиляционных зонтов КВ9</t>
  </si>
  <si>
    <t>Установка вентиляционных зонтов КВ10</t>
  </si>
  <si>
    <t>Установка вентиляционных зонтов КВ11</t>
  </si>
  <si>
    <t>Уголок 100х7 ГОСТ 8509-93</t>
  </si>
  <si>
    <t>Уголок 70х6 ГОСТ 8509-93</t>
  </si>
  <si>
    <t>Уголок 32х4 L=300 ГОСТ 8509-93</t>
  </si>
  <si>
    <t>Полоса 4х75 ГОСТ 19903-2015</t>
  </si>
  <si>
    <t>Лист 3х1250х1290 ГОСТ 19903-2015</t>
  </si>
  <si>
    <t>Брус 100х100 мм хвойных пород по ГОСТ 8486-86 и ГОСТ 24454-80 с влажностью не более 20%, категория не ниже 2-ого сорта</t>
  </si>
  <si>
    <t>Доска обрезная 22х100 мм (Обрешетка) хвойных пород по ГОСТ 8486-86 и ГОСТ 24454-80 с влажностью не более 20%, категория не ниже 2-ого сорта</t>
  </si>
  <si>
    <t>Оцинкованная кровельная сталь с полимерным покрытием S=0,7</t>
  </si>
  <si>
    <t>с учетом нахлёста и обрезков 15%</t>
  </si>
  <si>
    <t>Краевая рейка ТЕХНОНИКОЛЬ S=0,5</t>
  </si>
  <si>
    <t>с учетом потерь и обрезков 15%</t>
  </si>
  <si>
    <t>Минераловатные плиты Техноблок Стандарт СТО 72746455-3.2.1-2024 - 100 мм</t>
  </si>
  <si>
    <t>Пленка гидроветрозащитная D96 Сильвер</t>
  </si>
  <si>
    <t>шаг 200 мм</t>
  </si>
  <si>
    <t>Лист 3х1110х1190 ГОСТ 19903-2015</t>
  </si>
  <si>
    <t>Полоса 4х30 L=380 (Лапка) ГОСТ 19903-2015</t>
  </si>
  <si>
    <t>Полоса 4х30 (Лапка) ГОСТ 19903-2015</t>
  </si>
  <si>
    <t>Полоса 4х30 (Пояс) ГОСТ 19903-2015</t>
  </si>
  <si>
    <t>Полоса 4х70 (Пояс) ГОСТ 19903-2015</t>
  </si>
  <si>
    <t>Оцинкованный лист S=0,7 с полимерным покрытием (колпак)</t>
  </si>
  <si>
    <t>Лист 3х690х950 ГОСТ 19903-2015</t>
  </si>
  <si>
    <t>Лист 3х690х830 ГОСТ 19903-2015</t>
  </si>
  <si>
    <t>Лист 3х690х2070 ГОСТ 19903-2015</t>
  </si>
  <si>
    <t>Лестница кровельная стеновая ширина 440 мм L=1860</t>
  </si>
  <si>
    <t>Лист 3х690х2450 ГОСТ 19903-2015</t>
  </si>
  <si>
    <t>Уголок 32х4 ГОСТ 8509-93</t>
  </si>
  <si>
    <t>Полоса 4х30 L=430 (Лапка) ГОСТ 19903-2015</t>
  </si>
  <si>
    <t>Лист 3х730х3600 ГОСТ 19903-2015</t>
  </si>
  <si>
    <t>Лист 3х1440х2700 ГОСТ 19903-2015</t>
  </si>
  <si>
    <t>Лист 3х1520х2700 ГОСТ 19903-2015</t>
  </si>
  <si>
    <t>Лист 3х1430х2110 ГОСТ 19903-2015</t>
  </si>
  <si>
    <t>Устройство опорной плиты ОП1 из Бетона В25, F150, W6, с установкой закладных деталей МН126-6</t>
  </si>
  <si>
    <t>Монтаж балок под стойки стропильной конструкции из двутавра 20К2, листов толщиной 8, 10 мм, труб 160х160х5, 120х120х5</t>
  </si>
  <si>
    <t>1.4</t>
  </si>
  <si>
    <t>Устройство утеплителя 2 слоями толя</t>
  </si>
  <si>
    <t>2.5</t>
  </si>
  <si>
    <t>Устройство опорной плиты ОП2 из Бетона В25, F150, W6, с установкой закладных деталей МН126-6</t>
  </si>
  <si>
    <t>3.5</t>
  </si>
  <si>
    <t>4.5</t>
  </si>
  <si>
    <t>Установка стропил из пиломатериалов хвойных пород 100х200(h), 100х150(h), 50х150(h), 100х100(h), 150х150(h), 150х200(h), 125х100(h), 25х150(h), 250х75(h), 100х500х50(h)</t>
  </si>
  <si>
    <t>Огнезащитное покрытие деревянных поверхностей био-огнезащитным составом, обеспечивающим 2 группу огнезащитной эффективности (не менее 180 г/м²)</t>
  </si>
  <si>
    <t>Устройство: карнизов</t>
  </si>
  <si>
    <t>Устройство кровель различных типов из металлочерепицы «Монтеррей»</t>
  </si>
  <si>
    <t>Ограждение кровель перилами</t>
  </si>
  <si>
    <t>Устройство желобов подвесных</t>
  </si>
  <si>
    <t>Вентшахты</t>
  </si>
  <si>
    <t>Монтаж связей из уголка 100х7, уголка 70х6, уголка 32х4, пластин толщиной 4, 3 мм</t>
  </si>
  <si>
    <t>Монтаж каркаса из уголка 32х4 и пластины толщиной 4 мм</t>
  </si>
  <si>
    <t>Изоляция минераловатными плитами Техноблок толщиной 100 мм</t>
  </si>
  <si>
    <t>Установка пароизоляционного слоя из пленки гидроветрозащитная D96 Сильвер</t>
  </si>
  <si>
    <t>Монтаж облицовки стен оцинкованной кровельной сталью с полимерным покрытием S=0,7</t>
  </si>
  <si>
    <t>Монтаж рейки краевой ТЕХНОНИКОЛЬ S=0,5</t>
  </si>
  <si>
    <t>Окраска металлических конструкций вентшахт</t>
  </si>
  <si>
    <t>Монтаж колпака из оцинкованного листа, S 0,7 с полимерным покрытием</t>
  </si>
  <si>
    <t>Шурупы-саморезы кровельные окрашенные 4,8х38 мм</t>
  </si>
  <si>
    <t>8 штук на 1 м²</t>
  </si>
  <si>
    <t>18.2</t>
  </si>
  <si>
    <t>18.1</t>
  </si>
  <si>
    <t>19.1</t>
  </si>
  <si>
    <t>19.2</t>
  </si>
  <si>
    <t>19.3</t>
  </si>
  <si>
    <t>19.4</t>
  </si>
  <si>
    <t>19.5</t>
  </si>
  <si>
    <t>19.6</t>
  </si>
  <si>
    <t>20.1</t>
  </si>
  <si>
    <t>20.2</t>
  </si>
  <si>
    <t>21.1</t>
  </si>
  <si>
    <t>21.2</t>
  </si>
  <si>
    <t>21.3</t>
  </si>
  <si>
    <t>21.4</t>
  </si>
  <si>
    <t>21.5</t>
  </si>
  <si>
    <t>21.6</t>
  </si>
  <si>
    <t>22.1</t>
  </si>
  <si>
    <t>23.1</t>
  </si>
  <si>
    <t>23.2</t>
  </si>
  <si>
    <t>23.3</t>
  </si>
  <si>
    <t>23.4</t>
  </si>
  <si>
    <t>23.5</t>
  </si>
  <si>
    <t>23.6</t>
  </si>
  <si>
    <t>24.1</t>
  </si>
  <si>
    <t>24.2</t>
  </si>
  <si>
    <t>25.1</t>
  </si>
  <si>
    <t>25.2</t>
  </si>
  <si>
    <t>25.3</t>
  </si>
  <si>
    <t>25.4</t>
  </si>
  <si>
    <t>25.5</t>
  </si>
  <si>
    <t>25.6</t>
  </si>
  <si>
    <t>26.1</t>
  </si>
  <si>
    <t>26.2</t>
  </si>
  <si>
    <t>27.1</t>
  </si>
  <si>
    <t>27.2</t>
  </si>
  <si>
    <t>27.3</t>
  </si>
  <si>
    <t>27.4</t>
  </si>
  <si>
    <t>27.5</t>
  </si>
  <si>
    <t>27.6</t>
  </si>
  <si>
    <t>28.1</t>
  </si>
  <si>
    <t>28.2</t>
  </si>
  <si>
    <t>29.1</t>
  </si>
  <si>
    <t>29.2</t>
  </si>
  <si>
    <t>29.3</t>
  </si>
  <si>
    <t>29.4</t>
  </si>
  <si>
    <t>29.5</t>
  </si>
  <si>
    <t>29.6</t>
  </si>
  <si>
    <t>30.1</t>
  </si>
  <si>
    <t>30.2</t>
  </si>
  <si>
    <t>31.1</t>
  </si>
  <si>
    <t>31.2</t>
  </si>
  <si>
    <t>31.3</t>
  </si>
  <si>
    <t>31.4</t>
  </si>
  <si>
    <t>31.5</t>
  </si>
  <si>
    <t>31.6</t>
  </si>
  <si>
    <t>32.1</t>
  </si>
  <si>
    <t>34.1</t>
  </si>
  <si>
    <t>34.2</t>
  </si>
  <si>
    <t>33.1</t>
  </si>
  <si>
    <t>33.2</t>
  </si>
  <si>
    <t>33.3</t>
  </si>
  <si>
    <t>33.4</t>
  </si>
  <si>
    <t>33.5</t>
  </si>
  <si>
    <t>33.6</t>
  </si>
  <si>
    <t>35.1</t>
  </si>
  <si>
    <t>35.2</t>
  </si>
  <si>
    <t>35.3</t>
  </si>
  <si>
    <t>35.4</t>
  </si>
  <si>
    <t>35.5</t>
  </si>
  <si>
    <t>35.6</t>
  </si>
  <si>
    <t>36.1</t>
  </si>
  <si>
    <t>36.2</t>
  </si>
  <si>
    <t>37.1</t>
  </si>
  <si>
    <t>37.2</t>
  </si>
  <si>
    <t>37.3</t>
  </si>
  <si>
    <t>37.4</t>
  </si>
  <si>
    <t>37.5</t>
  </si>
  <si>
    <t>37.6</t>
  </si>
  <si>
    <t>38.1</t>
  </si>
  <si>
    <t>38.2</t>
  </si>
  <si>
    <t>39.1</t>
  </si>
  <si>
    <r>
      <t xml:space="preserve">Желоб водосточный прямоугольного сечения с водосточной воронкой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185х3000/1000 мм</t>
    </r>
  </si>
  <si>
    <t>40.1</t>
  </si>
  <si>
    <t>40.2</t>
  </si>
  <si>
    <t>40.3</t>
  </si>
  <si>
    <t>396/08/24-В-П-КР.ГЧ Лист 6, 7</t>
  </si>
  <si>
    <t>Утепление чердачное</t>
  </si>
  <si>
    <t>Секция 1. Утепление чердачное</t>
  </si>
  <si>
    <t>Затирка из цементно-песчаного раствора М150 толщиной 10 мм</t>
  </si>
  <si>
    <t>Раствор готовый кладочный, цементный, М150</t>
  </si>
  <si>
    <t>Материал рулонный битумно-полимерный кровельный и гидроизоляционный наплавляемый ЭКП, основа полиэстер, гибкость не выше -15 °C, масса 1 м2-5,7 кг, прочность не менее 400-600 Н, теплостойкость не менее 130 °C</t>
  </si>
  <si>
    <t>Изоляция покрытий верхний слой -минераловатные плиты на базальтоваом волокне (теплопроводность λ=0,041 Вт/м°С, плотность 120кг/м³) толщиной 40мм, нижний слой -минераловатные плиты (λ=0,041 Вт/м°С,плотность 90кг/м³) толщиной 200мм</t>
  </si>
  <si>
    <t>Плиты из минеральной ваты теплоизоляционные гидрофобизированные, для устройства кровель, на основе базальтового волокна, жесткие, толщина 40-200 мм</t>
  </si>
  <si>
    <t>40.4</t>
  </si>
  <si>
    <t>40.5</t>
  </si>
  <si>
    <t>40.6</t>
  </si>
  <si>
    <t>Устройство гидроизоляции из полимерной пленки</t>
  </si>
  <si>
    <t>Устройство стяжки из цементно -песчаного раствора марки М150 толщиной 40 мм</t>
  </si>
  <si>
    <t>Полимерная пленка</t>
  </si>
  <si>
    <t>Сетка 5ВрI с ячейкой 100х100 сварная из холоднотянутой проволоки 4-5 мм</t>
  </si>
  <si>
    <t>Армирование сеткой 5ВрI с ячейкой 100х100</t>
  </si>
  <si>
    <t>Секция 2. Утепление чердачное</t>
  </si>
  <si>
    <t>Секция 3. Утепление чердачное</t>
  </si>
  <si>
    <t>Секция 4. Утепление чердачное</t>
  </si>
  <si>
    <t>41.1</t>
  </si>
  <si>
    <t>41.2</t>
  </si>
  <si>
    <t>41.3</t>
  </si>
  <si>
    <t>41.4</t>
  </si>
  <si>
    <t>41.5</t>
  </si>
  <si>
    <t>41.6</t>
  </si>
  <si>
    <t>42.1</t>
  </si>
  <si>
    <t>42.2</t>
  </si>
  <si>
    <t>42.3</t>
  </si>
  <si>
    <t>42.4</t>
  </si>
  <si>
    <t>42.5</t>
  </si>
  <si>
    <t>42.6</t>
  </si>
  <si>
    <t>43.1</t>
  </si>
  <si>
    <t>43.2</t>
  </si>
  <si>
    <t>43.3</t>
  </si>
  <si>
    <t>43.4</t>
  </si>
  <si>
    <t>43.5</t>
  </si>
  <si>
    <t>43.6</t>
  </si>
  <si>
    <t>потери 10%</t>
  </si>
  <si>
    <t>хахлёст: 15% (запас)</t>
  </si>
  <si>
    <t>запас до 15%</t>
  </si>
  <si>
    <t>запас: 5%</t>
  </si>
  <si>
    <t>Устройство металлической водосточной системы: прямых звеньев труб</t>
  </si>
  <si>
    <t>Труба металлическая для водосточных систем, покрытие полиэстер, диаметр 150 мм, длина 3000 мм</t>
  </si>
  <si>
    <t>13.6</t>
  </si>
  <si>
    <t>14.6</t>
  </si>
  <si>
    <t>15.6</t>
  </si>
  <si>
    <t>16.6</t>
  </si>
  <si>
    <t>Установка каркаса из брусьев 100х100, с устройством обрешетки из доски 22х100 (Огнезащитное покрытие деревянных поверхностей био-огнезащитным составом, обеспечивающим 2 группу огнезащитной эффективности)</t>
  </si>
  <si>
    <t>Стоимост ФОТ включает расходники: пена монтажная, герметик Технониколь ПУ, герметик полиуретановый двухкомпонетный Технониколь 2К, дюбель-гвоздь 10х60 полипропилен и прочие.</t>
  </si>
  <si>
    <t>В стоимости ФОТ учтены расходные элементы: герметик Технониколь ПУ, герметик полиуретановый двухкомпонетный Технониколь 2К, крепежные элементы, дюбель-гвоздь 10х60 полипропилен, пена монтажная, лента монтажная и прочие.</t>
  </si>
  <si>
    <t>В стоимость ФОТ учтены все крепежные элементы: гайки, шпильки, гвозди и пр. Стоимость камерной сушки входит в стоимость материала.</t>
  </si>
  <si>
    <t>В стоимость ФОТ учтены все крепежные элементы: кровельные саморезы, гайки, шпильки, герметик и пр.</t>
  </si>
  <si>
    <t>Вид/подвид работ Управленческого учета</t>
  </si>
  <si>
    <t>Установка пароизоляционного слоя Технониколь АЛЬФА БАРЬЕР 1.0 Г4 (или аналог)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</si>
</sst>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3" formatCode="_-* #,##0.00_-;\-* #,##0.00_-;_-* &quot;-&quot;??_-;_-@_-"/>
    <numFmt numFmtId="164" formatCode="_-* #,##0.00\ _₽_-;\-* #,##0.00\ _₽_-;_-* &quot;-&quot;??\ _₽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_);_(&quot;$&quot;* \(#,##0\);_(&quot;$&quot;* &quot;-&quot;_);_(@_)"/>
    <numFmt numFmtId="169" formatCode="_(* #,##0.00_);_(* \(#,##0.00\);_(* &quot;-&quot;??_);_(@_)"/>
    <numFmt numFmtId="170" formatCode="0.00_)"/>
    <numFmt numFmtId="171" formatCode="0.000"/>
    <numFmt numFmtId="172" formatCode="#,##0.0"/>
    <numFmt numFmtId="173" formatCode="#,##0.000"/>
    <numFmt numFmtId="174" formatCode="_(* #,##0_);_(* \(#,##0\);_(* &quot;-&quot;??_);_(@_)"/>
    <numFmt numFmtId="175" formatCode="#,##0.00_ ;\-#,##0.00\ "/>
    <numFmt numFmtId="176" formatCode="_-* #,##0.00\ &quot;р.&quot;_-;\-* #,##0.00\ &quot;р.&quot;_-;_-* &quot;-&quot;??\ &quot;р.&quot;_-;_-@_-"/>
    <numFmt numFmtId="177" formatCode="_-* #,##0_р_-;\-* #,##0_р_-;_-* &quot;-&quot;_р_-;_-@_-"/>
    <numFmt numFmtId="178" formatCode="_-* #,##0.00_р_-;\-* #,##0.00_р_-;_-* &quot;-&quot;??_р_-;_-@_-"/>
    <numFmt numFmtId="179" formatCode="#,##0.00000"/>
    <numFmt numFmtId="180" formatCode="_-* #,##0\ _р_._-;\-* #,##0\ _р_._-;_-* &quot;-&quot;\ _р_._-;_-@_-"/>
    <numFmt numFmtId="181" formatCode="_-&quot;Ј&quot;* #,##0.00_-;\-&quot;Ј&quot;* #,##0.00_-;_-&quot;Ј&quot;* &quot;-&quot;??_-;_-@_-"/>
    <numFmt numFmtId="182" formatCode="&quot;Ј&quot;\ #,##0"/>
    <numFmt numFmtId="183" formatCode="\ #,##0.00&quot;р. &quot;;\-#,##0.00&quot;р. &quot;;&quot; -&quot;#&quot;р. &quot;;@\ "/>
    <numFmt numFmtId="184" formatCode="0.0000"/>
  </numFmts>
  <fonts count="61" x14ac:knownFonts="1">
    <font>
      <sz val="10"/>
      <name val="Arial"/>
    </font>
    <font>
      <sz val="10"/>
      <name val="Times New Roman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</font>
    <font>
      <sz val="10"/>
      <name val="Arial Cyr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name val="Times New Roman Cyr"/>
      <family val="1"/>
      <charset val="204"/>
    </font>
    <font>
      <sz val="11"/>
      <color indexed="8"/>
      <name val="Book Antiqua"/>
      <family val="2"/>
      <charset val="204"/>
    </font>
    <font>
      <sz val="11"/>
      <color indexed="8"/>
      <name val="Calibri"/>
      <family val="2"/>
    </font>
    <font>
      <sz val="10"/>
      <color indexed="8"/>
      <name val="Arial Cyr"/>
      <family val="2"/>
      <charset val="204"/>
    </font>
    <font>
      <sz val="11"/>
      <color indexed="8"/>
      <name val="Book Antiqua"/>
      <family val="2"/>
      <charset val="204"/>
    </font>
    <font>
      <sz val="8"/>
      <name val="Arial"/>
      <family val="2"/>
    </font>
    <font>
      <sz val="10"/>
      <name val="MS Sans Serif"/>
      <family val="2"/>
      <charset val="204"/>
    </font>
    <font>
      <b/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Book Antiqua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Times New Roman"/>
      <family val="2"/>
      <charset val="204"/>
    </font>
    <font>
      <sz val="11"/>
      <color theme="1"/>
      <name val="Bookman Old Style"/>
      <family val="2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"/>
    </font>
    <font>
      <sz val="10"/>
      <name val="Calibri"/>
      <family val="2"/>
      <charset val="204"/>
    </font>
    <font>
      <sz val="8.5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MS Gothic"/>
      <family val="3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15">
    <xf numFmtId="0" fontId="0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180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25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7" fillId="0" borderId="0"/>
    <xf numFmtId="38" fontId="36" fillId="16" borderId="0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0" fontId="36" fillId="17" borderId="1" applyNumberFormat="0" applyBorder="0" applyAlignment="0" applyProtection="0"/>
    <xf numFmtId="182" fontId="6" fillId="0" borderId="0"/>
    <xf numFmtId="0" fontId="45" fillId="0" borderId="0"/>
    <xf numFmtId="0" fontId="37" fillId="0" borderId="0"/>
    <xf numFmtId="0" fontId="30" fillId="0" borderId="0"/>
    <xf numFmtId="10" fontId="2" fillId="0" borderId="0" applyFont="0" applyFill="0" applyBorder="0" applyAlignment="0" applyProtection="0"/>
    <xf numFmtId="49" fontId="38" fillId="0" borderId="2" applyFill="0" applyBorder="0" applyProtection="0">
      <alignment horizontal="left" wrapText="1"/>
    </xf>
    <xf numFmtId="0" fontId="3" fillId="0" borderId="1">
      <alignment horizontal="center"/>
    </xf>
    <xf numFmtId="0" fontId="3" fillId="0" borderId="1">
      <alignment horizontal="center"/>
    </xf>
    <xf numFmtId="0" fontId="6" fillId="0" borderId="0">
      <alignment vertical="top"/>
    </xf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3" fillId="0" borderId="0">
      <alignment vertical="top"/>
    </xf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0" fillId="22" borderId="4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0" fontId="11" fillId="22" borderId="3" applyNumberFormat="0" applyAlignment="0" applyProtection="0"/>
    <xf numFmtId="166" fontId="6" fillId="0" borderId="0" applyFont="0" applyFill="0" applyBorder="0" applyAlignment="0" applyProtection="0"/>
    <xf numFmtId="171" fontId="34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83" fontId="39" fillId="0" borderId="0" applyFill="0" applyBorder="0" applyAlignment="0" applyProtection="0"/>
    <xf numFmtId="176" fontId="34" fillId="0" borderId="0" applyFont="0" applyFill="0" applyBorder="0" applyAlignment="0" applyProtection="0"/>
    <xf numFmtId="0" fontId="31" fillId="0" borderId="5" applyNumberFormat="0" applyFill="0" applyProtection="0">
      <alignment horizontal="center"/>
    </xf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" fillId="0" borderId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6" fillId="0" borderId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16" fillId="23" borderId="10" applyNumberFormat="0" applyAlignment="0" applyProtection="0"/>
    <xf numFmtId="0" fontId="3" fillId="0" borderId="1">
      <alignment horizontal="center" wrapText="1"/>
    </xf>
    <xf numFmtId="0" fontId="3" fillId="0" borderId="1">
      <alignment horizontal="center" wrapText="1"/>
    </xf>
    <xf numFmtId="0" fontId="6" fillId="0" borderId="0">
      <alignment vertical="top"/>
    </xf>
    <xf numFmtId="0" fontId="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6" fillId="0" borderId="0"/>
    <xf numFmtId="0" fontId="44" fillId="0" borderId="0"/>
    <xf numFmtId="0" fontId="2" fillId="0" borderId="0"/>
    <xf numFmtId="0" fontId="44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/>
    <xf numFmtId="0" fontId="45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4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2" fillId="0" borderId="0"/>
    <xf numFmtId="0" fontId="7" fillId="0" borderId="0"/>
    <xf numFmtId="0" fontId="44" fillId="0" borderId="0"/>
    <xf numFmtId="0" fontId="6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44" fillId="0" borderId="0"/>
    <xf numFmtId="0" fontId="44" fillId="0" borderId="0"/>
    <xf numFmtId="0" fontId="44" fillId="0" borderId="0"/>
    <xf numFmtId="0" fontId="47" fillId="0" borderId="0"/>
    <xf numFmtId="0" fontId="6" fillId="0" borderId="0"/>
    <xf numFmtId="0" fontId="44" fillId="0" borderId="0"/>
    <xf numFmtId="0" fontId="44" fillId="0" borderId="0"/>
    <xf numFmtId="0" fontId="27" fillId="0" borderId="0"/>
    <xf numFmtId="0" fontId="2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5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4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6" fillId="0" borderId="0"/>
    <xf numFmtId="0" fontId="44" fillId="0" borderId="0"/>
    <xf numFmtId="0" fontId="7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4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6" fillId="0" borderId="0"/>
    <xf numFmtId="0" fontId="44" fillId="0" borderId="0"/>
    <xf numFmtId="0" fontId="2" fillId="0" borderId="0"/>
    <xf numFmtId="0" fontId="44" fillId="0" borderId="0"/>
    <xf numFmtId="0" fontId="45" fillId="0" borderId="0"/>
    <xf numFmtId="0" fontId="28" fillId="0" borderId="0"/>
    <xf numFmtId="0" fontId="6" fillId="0" borderId="0"/>
    <xf numFmtId="0" fontId="28" fillId="0" borderId="0"/>
    <xf numFmtId="0" fontId="2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44" fillId="0" borderId="0"/>
    <xf numFmtId="0" fontId="3" fillId="0" borderId="0"/>
    <xf numFmtId="0" fontId="2" fillId="0" borderId="0"/>
    <xf numFmtId="0" fontId="44" fillId="0" borderId="0"/>
    <xf numFmtId="0" fontId="2" fillId="0" borderId="0"/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46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6" fillId="0" borderId="0"/>
    <xf numFmtId="0" fontId="48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45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6" fillId="0" borderId="0"/>
    <xf numFmtId="0" fontId="7" fillId="0" borderId="0"/>
    <xf numFmtId="0" fontId="2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44" fillId="0" borderId="0"/>
    <xf numFmtId="0" fontId="6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7" fillId="0" borderId="0"/>
    <xf numFmtId="0" fontId="44" fillId="0" borderId="0"/>
    <xf numFmtId="0" fontId="6" fillId="0" borderId="0"/>
    <xf numFmtId="0" fontId="2" fillId="0" borderId="0"/>
    <xf numFmtId="0" fontId="7" fillId="0" borderId="0"/>
    <xf numFmtId="0" fontId="4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44" fillId="0" borderId="0"/>
    <xf numFmtId="0" fontId="44" fillId="0" borderId="0"/>
    <xf numFmtId="0" fontId="6" fillId="0" borderId="0"/>
    <xf numFmtId="0" fontId="45" fillId="0" borderId="0"/>
    <xf numFmtId="0" fontId="44" fillId="0" borderId="0"/>
    <xf numFmtId="0" fontId="44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5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6" fillId="0" borderId="0"/>
    <xf numFmtId="0" fontId="46" fillId="0" borderId="0"/>
    <xf numFmtId="0" fontId="44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 wrapText="1"/>
    </xf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6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6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0" fontId="7" fillId="25" borderId="11" applyNumberFormat="0" applyFont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3" fillId="0" borderId="1">
      <alignment horizontal="center" wrapText="1"/>
    </xf>
    <xf numFmtId="0" fontId="6" fillId="0" borderId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1" fillId="0" borderId="12" applyNumberFormat="0" applyFill="0" applyAlignment="0" applyProtection="0"/>
    <xf numFmtId="0" fontId="29" fillId="0" borderId="0"/>
    <xf numFmtId="0" fontId="30" fillId="0" borderId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>
      <alignment horizontal="center"/>
    </xf>
    <xf numFmtId="177" fontId="6" fillId="0" borderId="0" applyFont="0" applyFill="0" applyBorder="0" applyAlignment="0" applyProtection="0"/>
    <xf numFmtId="178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4" fontId="33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3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3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43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35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75" fontId="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3" fillId="0" borderId="0">
      <alignment horizontal="left" vertical="top"/>
    </xf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6" fillId="0" borderId="1">
      <alignment vertical="top" wrapText="1"/>
    </xf>
    <xf numFmtId="0" fontId="6" fillId="0" borderId="1">
      <alignment vertical="top" wrapText="1"/>
    </xf>
    <xf numFmtId="0" fontId="3" fillId="0" borderId="0"/>
    <xf numFmtId="0" fontId="56" fillId="0" borderId="0"/>
    <xf numFmtId="43" fontId="48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 applyAlignment="1">
      <alignment vertical="center"/>
    </xf>
    <xf numFmtId="1" fontId="41" fillId="0" borderId="15" xfId="1215" quotePrefix="1" applyNumberFormat="1" applyFont="1" applyFill="1" applyBorder="1" applyAlignment="1" applyProtection="1">
      <alignment horizontal="center" vertical="center"/>
      <protection locked="0"/>
    </xf>
    <xf numFmtId="1" fontId="41" fillId="0" borderId="16" xfId="1215" quotePrefix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4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1" fillId="0" borderId="0" xfId="0" applyFont="1" applyFill="1"/>
    <xf numFmtId="179" fontId="50" fillId="0" borderId="17" xfId="1215" applyNumberFormat="1" applyFont="1" applyFill="1" applyBorder="1" applyAlignment="1" applyProtection="1">
      <alignment horizontal="center" vertical="center" wrapText="1"/>
      <protection locked="0"/>
    </xf>
    <xf numFmtId="0" fontId="50" fillId="0" borderId="13" xfId="1215" applyNumberFormat="1" applyFont="1" applyFill="1" applyBorder="1" applyAlignment="1" applyProtection="1">
      <alignment horizontal="center" vertical="center" wrapText="1"/>
      <protection locked="0"/>
    </xf>
    <xf numFmtId="179" fontId="41" fillId="0" borderId="17" xfId="1215" applyNumberFormat="1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41" fillId="0" borderId="18" xfId="1215" applyNumberFormat="1" applyFont="1" applyFill="1" applyBorder="1" applyAlignment="1" applyProtection="1">
      <alignment horizontal="center" vertical="center" wrapText="1"/>
      <protection locked="0"/>
    </xf>
    <xf numFmtId="4" fontId="4" fillId="0" borderId="13" xfId="0" applyNumberFormat="1" applyFont="1" applyFill="1" applyBorder="1" applyAlignment="1">
      <alignment horizontal="right" vertical="center" wrapText="1"/>
    </xf>
    <xf numFmtId="4" fontId="4" fillId="0" borderId="18" xfId="0" applyNumberFormat="1" applyFont="1" applyFill="1" applyBorder="1" applyAlignment="1">
      <alignment horizontal="right" vertical="center"/>
    </xf>
    <xf numFmtId="0" fontId="45" fillId="0" borderId="0" xfId="763" applyAlignment="1">
      <alignment horizontal="center" vertical="center" wrapText="1"/>
    </xf>
    <xf numFmtId="0" fontId="45" fillId="0" borderId="0" xfId="763" applyAlignment="1">
      <alignment wrapText="1"/>
    </xf>
    <xf numFmtId="0" fontId="45" fillId="0" borderId="0" xfId="763"/>
    <xf numFmtId="0" fontId="53" fillId="0" borderId="1" xfId="763" applyFont="1" applyBorder="1" applyAlignment="1">
      <alignment horizontal="right" wrapText="1"/>
    </xf>
    <xf numFmtId="1" fontId="4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49" fontId="4" fillId="27" borderId="1" xfId="1215" quotePrefix="1" applyNumberFormat="1" applyFont="1" applyFill="1" applyBorder="1" applyAlignment="1" applyProtection="1">
      <alignment horizontal="left" vertical="center" wrapText="1"/>
      <protection locked="0"/>
    </xf>
    <xf numFmtId="4" fontId="54" fillId="27" borderId="1" xfId="0" applyNumberFormat="1" applyFont="1" applyFill="1" applyBorder="1" applyAlignment="1">
      <alignment horizontal="right" vertical="center" wrapText="1"/>
    </xf>
    <xf numFmtId="4" fontId="4" fillId="27" borderId="13" xfId="0" applyNumberFormat="1" applyFont="1" applyFill="1" applyBorder="1" applyAlignment="1">
      <alignment horizontal="right" vertical="center" wrapText="1"/>
    </xf>
    <xf numFmtId="4" fontId="4" fillId="27" borderId="17" xfId="0" applyNumberFormat="1" applyFont="1" applyFill="1" applyBorder="1" applyAlignment="1">
      <alignment horizontal="center" vertical="center" wrapText="1"/>
    </xf>
    <xf numFmtId="4" fontId="4" fillId="27" borderId="18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79" fontId="50" fillId="0" borderId="31" xfId="1215" applyNumberFormat="1" applyFont="1" applyFill="1" applyBorder="1" applyAlignment="1" applyProtection="1">
      <alignment horizontal="center" vertical="center" wrapText="1"/>
      <protection locked="0"/>
    </xf>
    <xf numFmtId="1" fontId="41" fillId="0" borderId="32" xfId="1215" quotePrefix="1" applyNumberFormat="1" applyFont="1" applyFill="1" applyBorder="1" applyAlignment="1" applyProtection="1">
      <alignment horizontal="center" vertical="center"/>
      <protection locked="0"/>
    </xf>
    <xf numFmtId="4" fontId="4" fillId="27" borderId="34" xfId="0" applyNumberFormat="1" applyFont="1" applyFill="1" applyBorder="1" applyAlignment="1">
      <alignment horizontal="center" vertical="center" wrapText="1"/>
    </xf>
    <xf numFmtId="49" fontId="3" fillId="27" borderId="1" xfId="1215" applyNumberFormat="1" applyFont="1" applyFill="1" applyBorder="1" applyAlignment="1" applyProtection="1">
      <alignment horizontal="center" vertical="center"/>
      <protection locked="0"/>
    </xf>
    <xf numFmtId="4" fontId="4" fillId="27" borderId="1" xfId="0" applyNumberFormat="1" applyFont="1" applyFill="1" applyBorder="1" applyAlignment="1">
      <alignment horizontal="right" vertical="center" wrapText="1"/>
    </xf>
    <xf numFmtId="1" fontId="41" fillId="0" borderId="1" xfId="1215" quotePrefix="1" applyNumberFormat="1" applyFont="1" applyFill="1" applyBorder="1" applyAlignment="1" applyProtection="1">
      <alignment horizontal="center" vertical="center"/>
      <protection locked="0"/>
    </xf>
    <xf numFmtId="1" fontId="54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1" fillId="27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7" borderId="1" xfId="0" applyNumberFormat="1" applyFont="1" applyFill="1" applyBorder="1" applyAlignment="1">
      <alignment horizontal="center" vertical="center" wrapText="1"/>
    </xf>
    <xf numFmtId="49" fontId="3" fillId="0" borderId="1" xfId="1215" applyNumberFormat="1" applyFont="1" applyFill="1" applyBorder="1" applyAlignment="1" applyProtection="1">
      <alignment horizontal="center" vertical="center"/>
      <protection locked="0"/>
    </xf>
    <xf numFmtId="1" fontId="3" fillId="0" borderId="1" xfId="1215" quotePrefix="1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1215" quotePrefix="1" applyNumberFormat="1" applyFont="1" applyFill="1" applyBorder="1" applyAlignment="1" applyProtection="1">
      <alignment horizontal="right" vertical="center" wrapText="1"/>
      <protection locked="0"/>
    </xf>
    <xf numFmtId="1" fontId="40" fillId="0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4" fontId="51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34" xfId="0" applyNumberFormat="1" applyFont="1" applyFill="1" applyBorder="1" applyAlignment="1">
      <alignment horizontal="center" vertical="center" wrapText="1"/>
    </xf>
    <xf numFmtId="173" fontId="3" fillId="0" borderId="23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right" vertical="center"/>
    </xf>
    <xf numFmtId="0" fontId="40" fillId="28" borderId="0" xfId="0" applyFont="1" applyFill="1" applyAlignment="1">
      <alignment vertical="center"/>
    </xf>
    <xf numFmtId="1" fontId="4" fillId="28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41" fillId="28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" fillId="28" borderId="1" xfId="1215" quotePrefix="1" applyNumberFormat="1" applyFont="1" applyFill="1" applyBorder="1" applyAlignment="1" applyProtection="1">
      <alignment horizontal="left" vertical="center" wrapText="1"/>
      <protection locked="0"/>
    </xf>
    <xf numFmtId="1" fontId="4" fillId="28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8" borderId="1" xfId="0" applyNumberFormat="1" applyFont="1" applyFill="1" applyBorder="1" applyAlignment="1">
      <alignment horizontal="center" vertical="center" wrapText="1"/>
    </xf>
    <xf numFmtId="4" fontId="4" fillId="28" borderId="1" xfId="0" applyNumberFormat="1" applyFont="1" applyFill="1" applyBorder="1" applyAlignment="1">
      <alignment horizontal="right" vertical="center" wrapText="1"/>
    </xf>
    <xf numFmtId="4" fontId="52" fillId="28" borderId="33" xfId="0" applyNumberFormat="1" applyFont="1" applyFill="1" applyBorder="1" applyAlignment="1">
      <alignment vertical="center"/>
    </xf>
    <xf numFmtId="0" fontId="4" fillId="28" borderId="2" xfId="0" applyFont="1" applyFill="1" applyBorder="1"/>
    <xf numFmtId="0" fontId="3" fillId="28" borderId="26" xfId="0" applyFont="1" applyFill="1" applyBorder="1"/>
    <xf numFmtId="0" fontId="4" fillId="28" borderId="28" xfId="0" applyFont="1" applyFill="1" applyBorder="1" applyAlignment="1">
      <alignment vertical="center"/>
    </xf>
    <xf numFmtId="0" fontId="52" fillId="28" borderId="26" xfId="0" applyFont="1" applyFill="1" applyBorder="1" applyAlignment="1">
      <alignment vertical="center"/>
    </xf>
    <xf numFmtId="0" fontId="3" fillId="28" borderId="28" xfId="0" applyFont="1" applyFill="1" applyBorder="1" applyAlignment="1">
      <alignment horizontal="right"/>
    </xf>
    <xf numFmtId="4" fontId="3" fillId="28" borderId="26" xfId="0" applyNumberFormat="1" applyFont="1" applyFill="1" applyBorder="1"/>
    <xf numFmtId="0" fontId="3" fillId="28" borderId="0" xfId="0" applyFont="1" applyFill="1"/>
    <xf numFmtId="1" fontId="4" fillId="28" borderId="1" xfId="1215" applyNumberFormat="1" applyFont="1" applyFill="1" applyBorder="1" applyAlignment="1" applyProtection="1">
      <alignment horizontal="center" vertical="center"/>
      <protection locked="0"/>
    </xf>
    <xf numFmtId="0" fontId="41" fillId="27" borderId="0" xfId="0" applyFont="1" applyFill="1" applyAlignment="1">
      <alignment vertical="center"/>
    </xf>
    <xf numFmtId="173" fontId="4" fillId="27" borderId="23" xfId="0" applyNumberFormat="1" applyFont="1" applyFill="1" applyBorder="1" applyAlignment="1">
      <alignment horizontal="center" vertical="center" wrapText="1"/>
    </xf>
    <xf numFmtId="0" fontId="4" fillId="27" borderId="0" xfId="0" applyFont="1" applyFill="1" applyAlignment="1">
      <alignment horizontal="left" vertical="center"/>
    </xf>
    <xf numFmtId="0" fontId="4" fillId="27" borderId="0" xfId="0" applyFont="1" applyFill="1"/>
    <xf numFmtId="0" fontId="40" fillId="29" borderId="0" xfId="0" applyFont="1" applyFill="1" applyAlignment="1">
      <alignment vertical="center"/>
    </xf>
    <xf numFmtId="1" fontId="4" fillId="29" borderId="1" xfId="1215" applyNumberFormat="1" applyFont="1" applyFill="1" applyBorder="1" applyAlignment="1" applyProtection="1">
      <alignment horizontal="center" vertical="center"/>
      <protection locked="0"/>
    </xf>
    <xf numFmtId="1" fontId="4" fillId="29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41" fillId="29" borderId="1" xfId="1215" quotePrefix="1" applyNumberFormat="1" applyFont="1" applyFill="1" applyBorder="1" applyAlignment="1" applyProtection="1">
      <alignment horizontal="center" vertical="center" wrapText="1"/>
      <protection locked="0"/>
    </xf>
    <xf numFmtId="1" fontId="4" fillId="29" borderId="1" xfId="1215" quotePrefix="1" applyNumberFormat="1" applyFont="1" applyFill="1" applyBorder="1" applyAlignment="1" applyProtection="1">
      <alignment horizontal="left" vertical="center" wrapText="1"/>
      <protection locked="0"/>
    </xf>
    <xf numFmtId="1" fontId="4" fillId="29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4" fillId="29" borderId="1" xfId="0" applyNumberFormat="1" applyFont="1" applyFill="1" applyBorder="1" applyAlignment="1">
      <alignment horizontal="center" vertical="center" wrapText="1"/>
    </xf>
    <xf numFmtId="4" fontId="4" fillId="29" borderId="1" xfId="0" applyNumberFormat="1" applyFont="1" applyFill="1" applyBorder="1" applyAlignment="1">
      <alignment horizontal="right" vertical="center" wrapText="1"/>
    </xf>
    <xf numFmtId="4" fontId="52" fillId="29" borderId="33" xfId="0" applyNumberFormat="1" applyFont="1" applyFill="1" applyBorder="1" applyAlignment="1">
      <alignment vertical="center"/>
    </xf>
    <xf numFmtId="0" fontId="4" fillId="29" borderId="2" xfId="0" applyFont="1" applyFill="1" applyBorder="1"/>
    <xf numFmtId="0" fontId="3" fillId="29" borderId="26" xfId="0" applyFont="1" applyFill="1" applyBorder="1"/>
    <xf numFmtId="0" fontId="4" fillId="29" borderId="28" xfId="0" applyFont="1" applyFill="1" applyBorder="1" applyAlignment="1">
      <alignment vertical="center"/>
    </xf>
    <xf numFmtId="0" fontId="52" fillId="29" borderId="26" xfId="0" applyFont="1" applyFill="1" applyBorder="1" applyAlignment="1">
      <alignment vertical="center"/>
    </xf>
    <xf numFmtId="0" fontId="3" fillId="29" borderId="28" xfId="0" applyFont="1" applyFill="1" applyBorder="1" applyAlignment="1">
      <alignment horizontal="right"/>
    </xf>
    <xf numFmtId="4" fontId="3" fillId="29" borderId="26" xfId="0" applyNumberFormat="1" applyFont="1" applyFill="1" applyBorder="1"/>
    <xf numFmtId="0" fontId="3" fillId="29" borderId="0" xfId="0" applyFont="1" applyFill="1"/>
    <xf numFmtId="0" fontId="40" fillId="0" borderId="0" xfId="0" applyFont="1" applyAlignment="1">
      <alignment vertical="center"/>
    </xf>
    <xf numFmtId="49" fontId="3" fillId="0" borderId="1" xfId="1215" applyNumberFormat="1" applyFont="1" applyBorder="1" applyAlignment="1" applyProtection="1">
      <alignment horizontal="center" vertical="center"/>
      <protection locked="0"/>
    </xf>
    <xf numFmtId="0" fontId="4" fillId="27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84" fontId="3" fillId="0" borderId="0" xfId="0" applyNumberFormat="1" applyFont="1" applyFill="1" applyAlignment="1">
      <alignment horizontal="center" vertical="center"/>
    </xf>
    <xf numFmtId="2" fontId="4" fillId="27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1" xfId="0" quotePrefix="1" applyNumberFormat="1" applyFont="1" applyFill="1" applyBorder="1" applyAlignment="1" applyProtection="1">
      <alignment horizontal="center" vertical="center" wrapText="1"/>
      <protection locked="0"/>
    </xf>
    <xf numFmtId="1" fontId="60" fillId="28" borderId="1" xfId="1215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7" borderId="0" xfId="0" applyNumberFormat="1" applyFont="1" applyFill="1" applyAlignment="1">
      <alignment horizontal="center" vertical="center"/>
    </xf>
    <xf numFmtId="4" fontId="54" fillId="27" borderId="34" xfId="0" applyNumberFormat="1" applyFont="1" applyFill="1" applyBorder="1" applyAlignment="1">
      <alignment horizontal="center" vertical="center" wrapText="1"/>
    </xf>
    <xf numFmtId="4" fontId="54" fillId="27" borderId="13" xfId="0" applyNumberFormat="1" applyFont="1" applyFill="1" applyBorder="1" applyAlignment="1">
      <alignment horizontal="right" vertical="center" wrapText="1"/>
    </xf>
    <xf numFmtId="173" fontId="54" fillId="27" borderId="23" xfId="0" applyNumberFormat="1" applyFont="1" applyFill="1" applyBorder="1" applyAlignment="1">
      <alignment horizontal="center" vertical="center" wrapText="1"/>
    </xf>
    <xf numFmtId="4" fontId="54" fillId="27" borderId="18" xfId="0" applyNumberFormat="1" applyFont="1" applyFill="1" applyBorder="1" applyAlignment="1">
      <alignment horizontal="right" vertical="center"/>
    </xf>
    <xf numFmtId="4" fontId="54" fillId="27" borderId="17" xfId="0" applyNumberFormat="1" applyFont="1" applyFill="1" applyBorder="1" applyAlignment="1">
      <alignment horizontal="center" vertical="center" wrapText="1"/>
    </xf>
    <xf numFmtId="0" fontId="54" fillId="27" borderId="0" xfId="0" applyFont="1" applyFill="1" applyAlignment="1">
      <alignment horizontal="left" vertical="center"/>
    </xf>
    <xf numFmtId="1" fontId="51" fillId="0" borderId="1" xfId="1215" quotePrefix="1" applyNumberFormat="1" applyFont="1" applyFill="1" applyBorder="1" applyAlignment="1" applyProtection="1">
      <alignment horizontal="center" vertical="center" wrapText="1"/>
      <protection locked="0"/>
    </xf>
    <xf numFmtId="4" fontId="51" fillId="0" borderId="34" xfId="0" applyNumberFormat="1" applyFont="1" applyFill="1" applyBorder="1" applyAlignment="1">
      <alignment horizontal="center" vertical="center" wrapText="1"/>
    </xf>
    <xf numFmtId="4" fontId="54" fillId="0" borderId="13" xfId="0" applyNumberFormat="1" applyFont="1" applyFill="1" applyBorder="1" applyAlignment="1">
      <alignment horizontal="right" vertical="center" wrapText="1"/>
    </xf>
    <xf numFmtId="173" fontId="51" fillId="0" borderId="23" xfId="0" applyNumberFormat="1" applyFont="1" applyFill="1" applyBorder="1" applyAlignment="1">
      <alignment horizontal="center" vertical="center" wrapText="1"/>
    </xf>
    <xf numFmtId="4" fontId="54" fillId="0" borderId="18" xfId="0" applyNumberFormat="1" applyFont="1" applyFill="1" applyBorder="1" applyAlignment="1">
      <alignment horizontal="right" vertical="center"/>
    </xf>
    <xf numFmtId="4" fontId="51" fillId="0" borderId="17" xfId="0" applyNumberFormat="1" applyFont="1" applyFill="1" applyBorder="1" applyAlignment="1">
      <alignment horizontal="center" vertical="center" wrapText="1"/>
    </xf>
    <xf numFmtId="4" fontId="51" fillId="0" borderId="18" xfId="0" applyNumberFormat="1" applyFont="1" applyFill="1" applyBorder="1" applyAlignment="1">
      <alignment horizontal="right" vertical="center"/>
    </xf>
    <xf numFmtId="0" fontId="54" fillId="0" borderId="0" xfId="0" applyFont="1" applyFill="1" applyAlignment="1">
      <alignment horizontal="left" vertical="center"/>
    </xf>
    <xf numFmtId="49" fontId="51" fillId="0" borderId="1" xfId="1215" applyNumberFormat="1" applyFont="1" applyFill="1" applyBorder="1" applyAlignment="1" applyProtection="1">
      <alignment horizontal="center" vertical="center"/>
      <protection locked="0"/>
    </xf>
    <xf numFmtId="3" fontId="3" fillId="0" borderId="1" xfId="0" applyNumberFormat="1" applyFont="1" applyFill="1" applyBorder="1" applyAlignment="1">
      <alignment horizontal="center" vertical="center" wrapText="1"/>
    </xf>
    <xf numFmtId="173" fontId="3" fillId="0" borderId="1" xfId="0" applyNumberFormat="1" applyFont="1" applyFill="1" applyBorder="1" applyAlignment="1">
      <alignment horizontal="center" vertical="center" wrapText="1"/>
    </xf>
    <xf numFmtId="0" fontId="4" fillId="27" borderId="0" xfId="0" applyFont="1" applyFill="1" applyAlignment="1">
      <alignment horizontal="left" vertical="center" wrapText="1"/>
    </xf>
    <xf numFmtId="4" fontId="41" fillId="0" borderId="22" xfId="1215" applyNumberFormat="1" applyFont="1" applyFill="1" applyBorder="1" applyAlignment="1" applyProtection="1">
      <alignment horizontal="center" vertical="center" wrapText="1"/>
      <protection locked="0"/>
    </xf>
    <xf numFmtId="4" fontId="41" fillId="0" borderId="28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1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6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2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28" xfId="1215" applyNumberFormat="1" applyFont="1" applyFill="1" applyBorder="1" applyAlignment="1" applyProtection="1">
      <alignment horizontal="center" vertical="center" wrapText="1"/>
      <protection locked="0"/>
    </xf>
    <xf numFmtId="0" fontId="41" fillId="0" borderId="19" xfId="0" applyNumberFormat="1" applyFont="1" applyFill="1" applyBorder="1" applyAlignment="1">
      <alignment horizontal="center" vertical="center" wrapText="1"/>
    </xf>
    <xf numFmtId="0" fontId="41" fillId="0" borderId="27" xfId="0" applyNumberFormat="1" applyFont="1" applyFill="1" applyBorder="1" applyAlignment="1">
      <alignment horizontal="center" vertical="center" wrapText="1"/>
    </xf>
    <xf numFmtId="170" fontId="41" fillId="0" borderId="1" xfId="1215" applyNumberFormat="1" applyFont="1" applyFill="1" applyBorder="1" applyAlignment="1" applyProtection="1">
      <alignment horizontal="center" vertical="center" wrapText="1"/>
      <protection locked="0"/>
    </xf>
    <xf numFmtId="49" fontId="55" fillId="0" borderId="30" xfId="0" applyNumberFormat="1" applyFont="1" applyFill="1" applyBorder="1" applyAlignment="1">
      <alignment horizontal="center" vertical="center" wrapText="1"/>
    </xf>
    <xf numFmtId="49" fontId="55" fillId="0" borderId="20" xfId="0" applyNumberFormat="1" applyFont="1" applyFill="1" applyBorder="1" applyAlignment="1">
      <alignment horizontal="center" vertical="center" wrapText="1"/>
    </xf>
    <xf numFmtId="49" fontId="50" fillId="0" borderId="14" xfId="0" applyNumberFormat="1" applyFont="1" applyFill="1" applyBorder="1" applyAlignment="1">
      <alignment horizontal="center" vertical="center" wrapText="1"/>
    </xf>
    <xf numFmtId="49" fontId="50" fillId="0" borderId="20" xfId="0" applyNumberFormat="1" applyFont="1" applyFill="1" applyBorder="1" applyAlignment="1">
      <alignment horizontal="center" vertical="center" wrapText="1"/>
    </xf>
    <xf numFmtId="179" fontId="41" fillId="0" borderId="24" xfId="0" applyNumberFormat="1" applyFont="1" applyFill="1" applyBorder="1" applyAlignment="1">
      <alignment horizontal="center" vertical="center" wrapText="1"/>
    </xf>
    <xf numFmtId="179" fontId="41" fillId="0" borderId="29" xfId="0" applyNumberFormat="1" applyFont="1" applyFill="1" applyBorder="1" applyAlignment="1">
      <alignment horizontal="center" vertical="center" wrapText="1"/>
    </xf>
    <xf numFmtId="179" fontId="41" fillId="0" borderId="2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1" fillId="0" borderId="1" xfId="1215" applyFont="1" applyFill="1" applyBorder="1" applyAlignment="1" applyProtection="1">
      <alignment horizontal="center" vertical="center" wrapText="1"/>
      <protection locked="0"/>
    </xf>
    <xf numFmtId="2" fontId="55" fillId="0" borderId="1" xfId="1215" applyNumberFormat="1" applyFont="1" applyFill="1" applyBorder="1" applyAlignment="1" applyProtection="1">
      <alignment horizontal="center" vertical="center" wrapText="1"/>
      <protection locked="0"/>
    </xf>
    <xf numFmtId="4" fontId="41" fillId="0" borderId="1" xfId="0" applyNumberFormat="1" applyFont="1" applyFill="1" applyBorder="1" applyAlignment="1">
      <alignment horizontal="center" vertical="center" wrapText="1"/>
    </xf>
    <xf numFmtId="0" fontId="45" fillId="26" borderId="1" xfId="763" applyFill="1" applyBorder="1" applyAlignment="1">
      <alignment horizontal="center" vertical="center" wrapText="1"/>
    </xf>
  </cellXfs>
  <cellStyles count="1615">
    <cellStyle name="_АСУ ТП ЦПС ЮБ расшифровка( Скорректирован с НА)1" xfId="1" xr:uid="{00000000-0005-0000-0000-000000000000}"/>
    <cellStyle name="_Выполнение ЦППН-2 декабрь(УКС)" xfId="2" xr:uid="{00000000-0005-0000-0000-000001000000}"/>
    <cellStyle name="_днс мат" xfId="3" xr:uid="{00000000-0005-0000-0000-000002000000}"/>
    <cellStyle name="_ДНС СЗ  НМ свод" xfId="4" xr:uid="{00000000-0005-0000-0000-000003000000}"/>
    <cellStyle name="_доп.согл дог136  5 ПОС после ПСО" xfId="5" xr:uid="{00000000-0005-0000-0000-000004000000}"/>
    <cellStyle name="_К206 РН-Автоматика" xfId="6" xr:uid="{00000000-0005-0000-0000-000005000000}"/>
    <cellStyle name="_КДФТ Лемпино материалы и оборудование" xfId="7" xr:uid="{00000000-0005-0000-0000-000006000000}"/>
    <cellStyle name="_Книга1" xfId="8" xr:uid="{00000000-0005-0000-0000-000007000000}"/>
    <cellStyle name="_КНС куста 205" xfId="9" xr:uid="{00000000-0005-0000-0000-000008000000}"/>
    <cellStyle name="_КНС куста 216 прилож" xfId="10" xr:uid="{00000000-0005-0000-0000-000009000000}"/>
    <cellStyle name="_Куст 142  6950-Р142  для работы с подрядчиком" xfId="11" xr:uid="{00000000-0005-0000-0000-00000A000000}"/>
    <cellStyle name="_Куст 143 6950 Д1 для работы с подрядчиком" xfId="12" xr:uid="{00000000-0005-0000-0000-00000B000000}"/>
    <cellStyle name="_Куст 289" xfId="13" xr:uid="{00000000-0005-0000-0000-00000C000000}"/>
    <cellStyle name="_Куст 291 6950-Р291" xfId="14" xr:uid="{00000000-0005-0000-0000-00000D000000}"/>
    <cellStyle name="_материалы КНС 216" xfId="15" xr:uid="{00000000-0005-0000-0000-00000E000000}"/>
    <cellStyle name="_Оборудование  КНС 143" xfId="16" xr:uid="{00000000-0005-0000-0000-00000F000000}"/>
    <cellStyle name="_ООО Плазма напорн.нефтепр уз19е уз5а ОКОНЧАТ" xfId="17" xr:uid="{00000000-0005-0000-0000-000010000000}"/>
    <cellStyle name="_От Маркеловой" xfId="18" xr:uid="{00000000-0005-0000-0000-000011000000}"/>
    <cellStyle name="_пнр" xfId="19" xr:uid="{00000000-0005-0000-0000-000012000000}"/>
    <cellStyle name="_ПНР городская баня" xfId="20" xr:uid="{00000000-0005-0000-0000-000013000000}"/>
    <cellStyle name="_ПНР кусты приобское 238,241,243,245,251 Нефтьмонтаж" xfId="21" xr:uid="{00000000-0005-0000-0000-000014000000}"/>
    <cellStyle name="_ПНР образец" xfId="22" xr:uid="{00000000-0005-0000-0000-000015000000}"/>
    <cellStyle name="_Прил 2, 3, 4, 5" xfId="23" xr:uid="{00000000-0005-0000-0000-000016000000}"/>
    <cellStyle name="_Приложения" xfId="24" xr:uid="{00000000-0005-0000-0000-000017000000}"/>
    <cellStyle name="_Приложения к договору 136РРЛ" xfId="25" xr:uid="{00000000-0005-0000-0000-000018000000}"/>
    <cellStyle name="_ПРИЛОЖЕНИЯ к договору кор" xfId="26" xr:uid="{00000000-0005-0000-0000-000019000000}"/>
    <cellStyle name="_Проверка Расчет дог.цены Куст скв. 205 БИС1(от подрядчика) согласовано" xfId="27" xr:uid="{00000000-0005-0000-0000-00001A000000}"/>
    <cellStyle name="_Разд вед" xfId="28" xr:uid="{00000000-0005-0000-0000-00001B000000}"/>
    <cellStyle name="_Расчет договорной цены Куст скважины 209 БИС3" xfId="29" xr:uid="{00000000-0005-0000-0000-00001C000000}"/>
    <cellStyle name="_РН 231105" xfId="30" xr:uid="{00000000-0005-0000-0000-00001D000000}"/>
    <cellStyle name="_РН-А" xfId="31" xr:uid="{00000000-0005-0000-0000-00001E000000}"/>
    <cellStyle name="_Свод КНС куст 216" xfId="32" xr:uid="{00000000-0005-0000-0000-00001F000000}"/>
    <cellStyle name="_Свод КНС ОМБИНКА доп сог" xfId="33" xr:uid="{00000000-0005-0000-0000-000020000000}"/>
    <cellStyle name="_свод ЦППН 3 ЮБ 1" xfId="34" xr:uid="{00000000-0005-0000-0000-000021000000}"/>
    <cellStyle name="_свод ЦПС Приразл РНА 2006-кор" xfId="35" xr:uid="{00000000-0005-0000-0000-000022000000}"/>
    <cellStyle name="_Смета ПНР изм." xfId="36" xr:uid="{00000000-0005-0000-0000-000023000000}"/>
    <cellStyle name="_смета пнр рн авт" xfId="37" xr:uid="{00000000-0005-0000-0000-000024000000}"/>
    <cellStyle name="_Сметы Асомкино от РН-Автом" xfId="38" xr:uid="{00000000-0005-0000-0000-000025000000}"/>
    <cellStyle name="_СМР ЗМБ 1 пункт слива нефти" xfId="39" xr:uid="{00000000-0005-0000-0000-000026000000}"/>
    <cellStyle name="_СМР_РПД_25.01.03" xfId="40" xr:uid="{00000000-0005-0000-0000-000027000000}"/>
    <cellStyle name="_Спецификация для ОЗНА 1" xfId="41" xr:uid="{00000000-0005-0000-0000-000028000000}"/>
    <cellStyle name="_Стоимость ПТК БКНС 1 СУ мр" xfId="42" xr:uid="{00000000-0005-0000-0000-000029000000}"/>
    <cellStyle name="_Стоимость ПТК БКНС4" xfId="43" xr:uid="{00000000-0005-0000-0000-00002A000000}"/>
    <cellStyle name="20% - Акцент1 10 2" xfId="44" xr:uid="{00000000-0005-0000-0000-00002B000000}"/>
    <cellStyle name="20% - Акцент1 11" xfId="45" xr:uid="{00000000-0005-0000-0000-00002C000000}"/>
    <cellStyle name="20% - Акцент1 2" xfId="46" xr:uid="{00000000-0005-0000-0000-00002D000000}"/>
    <cellStyle name="20% - Акцент1 2 2" xfId="47" xr:uid="{00000000-0005-0000-0000-00002E000000}"/>
    <cellStyle name="20% - Акцент1 3 2" xfId="48" xr:uid="{00000000-0005-0000-0000-00002F000000}"/>
    <cellStyle name="20% - Акцент1 4 2" xfId="49" xr:uid="{00000000-0005-0000-0000-000030000000}"/>
    <cellStyle name="20% - Акцент1 5 2" xfId="50" xr:uid="{00000000-0005-0000-0000-000031000000}"/>
    <cellStyle name="20% - Акцент1 6 2" xfId="51" xr:uid="{00000000-0005-0000-0000-000032000000}"/>
    <cellStyle name="20% - Акцент1 7 2" xfId="52" xr:uid="{00000000-0005-0000-0000-000033000000}"/>
    <cellStyle name="20% - Акцент1 8 2" xfId="53" xr:uid="{00000000-0005-0000-0000-000034000000}"/>
    <cellStyle name="20% - Акцент1 9 2" xfId="54" xr:uid="{00000000-0005-0000-0000-000035000000}"/>
    <cellStyle name="20% - Акцент2 10 2" xfId="55" xr:uid="{00000000-0005-0000-0000-000036000000}"/>
    <cellStyle name="20% - Акцент2 11" xfId="56" xr:uid="{00000000-0005-0000-0000-000037000000}"/>
    <cellStyle name="20% - Акцент2 2" xfId="57" xr:uid="{00000000-0005-0000-0000-000038000000}"/>
    <cellStyle name="20% - Акцент2 2 2" xfId="58" xr:uid="{00000000-0005-0000-0000-000039000000}"/>
    <cellStyle name="20% - Акцент2 3 2" xfId="59" xr:uid="{00000000-0005-0000-0000-00003A000000}"/>
    <cellStyle name="20% - Акцент2 4 2" xfId="60" xr:uid="{00000000-0005-0000-0000-00003B000000}"/>
    <cellStyle name="20% - Акцент2 5 2" xfId="61" xr:uid="{00000000-0005-0000-0000-00003C000000}"/>
    <cellStyle name="20% - Акцент2 6 2" xfId="62" xr:uid="{00000000-0005-0000-0000-00003D000000}"/>
    <cellStyle name="20% - Акцент2 7 2" xfId="63" xr:uid="{00000000-0005-0000-0000-00003E000000}"/>
    <cellStyle name="20% - Акцент2 8 2" xfId="64" xr:uid="{00000000-0005-0000-0000-00003F000000}"/>
    <cellStyle name="20% - Акцент2 9 2" xfId="65" xr:uid="{00000000-0005-0000-0000-000040000000}"/>
    <cellStyle name="20% - Акцент3 10 2" xfId="66" xr:uid="{00000000-0005-0000-0000-000041000000}"/>
    <cellStyle name="20% - Акцент3 11" xfId="67" xr:uid="{00000000-0005-0000-0000-000042000000}"/>
    <cellStyle name="20% - Акцент3 2" xfId="68" xr:uid="{00000000-0005-0000-0000-000043000000}"/>
    <cellStyle name="20% - Акцент3 2 2" xfId="69" xr:uid="{00000000-0005-0000-0000-000044000000}"/>
    <cellStyle name="20% - Акцент3 3 2" xfId="70" xr:uid="{00000000-0005-0000-0000-000045000000}"/>
    <cellStyle name="20% - Акцент3 4 2" xfId="71" xr:uid="{00000000-0005-0000-0000-000046000000}"/>
    <cellStyle name="20% - Акцент3 5 2" xfId="72" xr:uid="{00000000-0005-0000-0000-000047000000}"/>
    <cellStyle name="20% - Акцент3 6 2" xfId="73" xr:uid="{00000000-0005-0000-0000-000048000000}"/>
    <cellStyle name="20% - Акцент3 7 2" xfId="74" xr:uid="{00000000-0005-0000-0000-000049000000}"/>
    <cellStyle name="20% - Акцент3 8 2" xfId="75" xr:uid="{00000000-0005-0000-0000-00004A000000}"/>
    <cellStyle name="20% - Акцент3 9 2" xfId="76" xr:uid="{00000000-0005-0000-0000-00004B000000}"/>
    <cellStyle name="20% - Акцент4 10 2" xfId="77" xr:uid="{00000000-0005-0000-0000-00004C000000}"/>
    <cellStyle name="20% - Акцент4 11" xfId="78" xr:uid="{00000000-0005-0000-0000-00004D000000}"/>
    <cellStyle name="20% - Акцент4 2" xfId="79" xr:uid="{00000000-0005-0000-0000-00004E000000}"/>
    <cellStyle name="20% - Акцент4 2 2" xfId="80" xr:uid="{00000000-0005-0000-0000-00004F000000}"/>
    <cellStyle name="20% - Акцент4 3 2" xfId="81" xr:uid="{00000000-0005-0000-0000-000050000000}"/>
    <cellStyle name="20% - Акцент4 4 2" xfId="82" xr:uid="{00000000-0005-0000-0000-000051000000}"/>
    <cellStyle name="20% - Акцент4 5 2" xfId="83" xr:uid="{00000000-0005-0000-0000-000052000000}"/>
    <cellStyle name="20% - Акцент4 6 2" xfId="84" xr:uid="{00000000-0005-0000-0000-000053000000}"/>
    <cellStyle name="20% - Акцент4 7 2" xfId="85" xr:uid="{00000000-0005-0000-0000-000054000000}"/>
    <cellStyle name="20% - Акцент4 8 2" xfId="86" xr:uid="{00000000-0005-0000-0000-000055000000}"/>
    <cellStyle name="20% - Акцент4 9 2" xfId="87" xr:uid="{00000000-0005-0000-0000-000056000000}"/>
    <cellStyle name="20% - Акцент5 10 2" xfId="88" xr:uid="{00000000-0005-0000-0000-000057000000}"/>
    <cellStyle name="20% - Акцент5 11" xfId="89" xr:uid="{00000000-0005-0000-0000-000058000000}"/>
    <cellStyle name="20% - Акцент5 2" xfId="90" xr:uid="{00000000-0005-0000-0000-000059000000}"/>
    <cellStyle name="20% - Акцент5 2 2" xfId="91" xr:uid="{00000000-0005-0000-0000-00005A000000}"/>
    <cellStyle name="20% - Акцент5 3 2" xfId="92" xr:uid="{00000000-0005-0000-0000-00005B000000}"/>
    <cellStyle name="20% - Акцент5 4 2" xfId="93" xr:uid="{00000000-0005-0000-0000-00005C000000}"/>
    <cellStyle name="20% - Акцент5 5 2" xfId="94" xr:uid="{00000000-0005-0000-0000-00005D000000}"/>
    <cellStyle name="20% - Акцент5 6 2" xfId="95" xr:uid="{00000000-0005-0000-0000-00005E000000}"/>
    <cellStyle name="20% - Акцент5 7 2" xfId="96" xr:uid="{00000000-0005-0000-0000-00005F000000}"/>
    <cellStyle name="20% - Акцент5 8 2" xfId="97" xr:uid="{00000000-0005-0000-0000-000060000000}"/>
    <cellStyle name="20% - Акцент5 9 2" xfId="98" xr:uid="{00000000-0005-0000-0000-000061000000}"/>
    <cellStyle name="20% - Акцент6 10 2" xfId="99" xr:uid="{00000000-0005-0000-0000-000062000000}"/>
    <cellStyle name="20% - Акцент6 11" xfId="100" xr:uid="{00000000-0005-0000-0000-000063000000}"/>
    <cellStyle name="20% - Акцент6 2" xfId="101" xr:uid="{00000000-0005-0000-0000-000064000000}"/>
    <cellStyle name="20% - Акцент6 2 2" xfId="102" xr:uid="{00000000-0005-0000-0000-000065000000}"/>
    <cellStyle name="20% - Акцент6 3 2" xfId="103" xr:uid="{00000000-0005-0000-0000-000066000000}"/>
    <cellStyle name="20% - Акцент6 4 2" xfId="104" xr:uid="{00000000-0005-0000-0000-000067000000}"/>
    <cellStyle name="20% - Акцент6 5 2" xfId="105" xr:uid="{00000000-0005-0000-0000-000068000000}"/>
    <cellStyle name="20% - Акцент6 6 2" xfId="106" xr:uid="{00000000-0005-0000-0000-000069000000}"/>
    <cellStyle name="20% - Акцент6 7 2" xfId="107" xr:uid="{00000000-0005-0000-0000-00006A000000}"/>
    <cellStyle name="20% - Акцент6 8 2" xfId="108" xr:uid="{00000000-0005-0000-0000-00006B000000}"/>
    <cellStyle name="20% - Акцент6 9 2" xfId="109" xr:uid="{00000000-0005-0000-0000-00006C000000}"/>
    <cellStyle name="40% - Акцент1 10 2" xfId="110" xr:uid="{00000000-0005-0000-0000-00006D000000}"/>
    <cellStyle name="40% - Акцент1 11" xfId="111" xr:uid="{00000000-0005-0000-0000-00006E000000}"/>
    <cellStyle name="40% - Акцент1 2" xfId="112" xr:uid="{00000000-0005-0000-0000-00006F000000}"/>
    <cellStyle name="40% - Акцент1 2 2" xfId="113" xr:uid="{00000000-0005-0000-0000-000070000000}"/>
    <cellStyle name="40% - Акцент1 3 2" xfId="114" xr:uid="{00000000-0005-0000-0000-000071000000}"/>
    <cellStyle name="40% - Акцент1 4 2" xfId="115" xr:uid="{00000000-0005-0000-0000-000072000000}"/>
    <cellStyle name="40% - Акцент1 5 2" xfId="116" xr:uid="{00000000-0005-0000-0000-000073000000}"/>
    <cellStyle name="40% - Акцент1 6 2" xfId="117" xr:uid="{00000000-0005-0000-0000-000074000000}"/>
    <cellStyle name="40% - Акцент1 7 2" xfId="118" xr:uid="{00000000-0005-0000-0000-000075000000}"/>
    <cellStyle name="40% - Акцент1 8 2" xfId="119" xr:uid="{00000000-0005-0000-0000-000076000000}"/>
    <cellStyle name="40% - Акцент1 9 2" xfId="120" xr:uid="{00000000-0005-0000-0000-000077000000}"/>
    <cellStyle name="40% - Акцент2 10 2" xfId="121" xr:uid="{00000000-0005-0000-0000-000078000000}"/>
    <cellStyle name="40% - Акцент2 11" xfId="122" xr:uid="{00000000-0005-0000-0000-000079000000}"/>
    <cellStyle name="40% - Акцент2 2" xfId="123" xr:uid="{00000000-0005-0000-0000-00007A000000}"/>
    <cellStyle name="40% - Акцент2 2 2" xfId="124" xr:uid="{00000000-0005-0000-0000-00007B000000}"/>
    <cellStyle name="40% - Акцент2 3 2" xfId="125" xr:uid="{00000000-0005-0000-0000-00007C000000}"/>
    <cellStyle name="40% - Акцент2 4 2" xfId="126" xr:uid="{00000000-0005-0000-0000-00007D000000}"/>
    <cellStyle name="40% - Акцент2 5 2" xfId="127" xr:uid="{00000000-0005-0000-0000-00007E000000}"/>
    <cellStyle name="40% - Акцент2 6 2" xfId="128" xr:uid="{00000000-0005-0000-0000-00007F000000}"/>
    <cellStyle name="40% - Акцент2 7 2" xfId="129" xr:uid="{00000000-0005-0000-0000-000080000000}"/>
    <cellStyle name="40% - Акцент2 8 2" xfId="130" xr:uid="{00000000-0005-0000-0000-000081000000}"/>
    <cellStyle name="40% - Акцент2 9 2" xfId="131" xr:uid="{00000000-0005-0000-0000-000082000000}"/>
    <cellStyle name="40% - Акцент3 10 2" xfId="132" xr:uid="{00000000-0005-0000-0000-000083000000}"/>
    <cellStyle name="40% - Акцент3 11" xfId="133" xr:uid="{00000000-0005-0000-0000-000084000000}"/>
    <cellStyle name="40% - Акцент3 2" xfId="134" xr:uid="{00000000-0005-0000-0000-000085000000}"/>
    <cellStyle name="40% - Акцент3 2 2" xfId="135" xr:uid="{00000000-0005-0000-0000-000086000000}"/>
    <cellStyle name="40% - Акцент3 3 2" xfId="136" xr:uid="{00000000-0005-0000-0000-000087000000}"/>
    <cellStyle name="40% - Акцент3 4 2" xfId="137" xr:uid="{00000000-0005-0000-0000-000088000000}"/>
    <cellStyle name="40% - Акцент3 5 2" xfId="138" xr:uid="{00000000-0005-0000-0000-000089000000}"/>
    <cellStyle name="40% - Акцент3 6 2" xfId="139" xr:uid="{00000000-0005-0000-0000-00008A000000}"/>
    <cellStyle name="40% - Акцент3 7 2" xfId="140" xr:uid="{00000000-0005-0000-0000-00008B000000}"/>
    <cellStyle name="40% - Акцент3 8 2" xfId="141" xr:uid="{00000000-0005-0000-0000-00008C000000}"/>
    <cellStyle name="40% - Акцент3 9 2" xfId="142" xr:uid="{00000000-0005-0000-0000-00008D000000}"/>
    <cellStyle name="40% - Акцент4 10 2" xfId="143" xr:uid="{00000000-0005-0000-0000-00008E000000}"/>
    <cellStyle name="40% - Акцент4 11" xfId="144" xr:uid="{00000000-0005-0000-0000-00008F000000}"/>
    <cellStyle name="40% - Акцент4 2" xfId="145" xr:uid="{00000000-0005-0000-0000-000090000000}"/>
    <cellStyle name="40% - Акцент4 2 2" xfId="146" xr:uid="{00000000-0005-0000-0000-000091000000}"/>
    <cellStyle name="40% - Акцент4 3 2" xfId="147" xr:uid="{00000000-0005-0000-0000-000092000000}"/>
    <cellStyle name="40% - Акцент4 4 2" xfId="148" xr:uid="{00000000-0005-0000-0000-000093000000}"/>
    <cellStyle name="40% - Акцент4 5 2" xfId="149" xr:uid="{00000000-0005-0000-0000-000094000000}"/>
    <cellStyle name="40% - Акцент4 6 2" xfId="150" xr:uid="{00000000-0005-0000-0000-000095000000}"/>
    <cellStyle name="40% - Акцент4 7 2" xfId="151" xr:uid="{00000000-0005-0000-0000-000096000000}"/>
    <cellStyle name="40% - Акцент4 8 2" xfId="152" xr:uid="{00000000-0005-0000-0000-000097000000}"/>
    <cellStyle name="40% - Акцент4 9 2" xfId="153" xr:uid="{00000000-0005-0000-0000-000098000000}"/>
    <cellStyle name="40% - Акцент5 10 2" xfId="154" xr:uid="{00000000-0005-0000-0000-000099000000}"/>
    <cellStyle name="40% - Акцент5 11" xfId="155" xr:uid="{00000000-0005-0000-0000-00009A000000}"/>
    <cellStyle name="40% - Акцент5 2" xfId="156" xr:uid="{00000000-0005-0000-0000-00009B000000}"/>
    <cellStyle name="40% - Акцент5 2 2" xfId="157" xr:uid="{00000000-0005-0000-0000-00009C000000}"/>
    <cellStyle name="40% - Акцент5 3 2" xfId="158" xr:uid="{00000000-0005-0000-0000-00009D000000}"/>
    <cellStyle name="40% - Акцент5 4 2" xfId="159" xr:uid="{00000000-0005-0000-0000-00009E000000}"/>
    <cellStyle name="40% - Акцент5 5 2" xfId="160" xr:uid="{00000000-0005-0000-0000-00009F000000}"/>
    <cellStyle name="40% - Акцент5 6 2" xfId="161" xr:uid="{00000000-0005-0000-0000-0000A0000000}"/>
    <cellStyle name="40% - Акцент5 7 2" xfId="162" xr:uid="{00000000-0005-0000-0000-0000A1000000}"/>
    <cellStyle name="40% - Акцент5 8 2" xfId="163" xr:uid="{00000000-0005-0000-0000-0000A2000000}"/>
    <cellStyle name="40% - Акцент5 9 2" xfId="164" xr:uid="{00000000-0005-0000-0000-0000A3000000}"/>
    <cellStyle name="40% - Акцент6 10 2" xfId="165" xr:uid="{00000000-0005-0000-0000-0000A4000000}"/>
    <cellStyle name="40% - Акцент6 11" xfId="166" xr:uid="{00000000-0005-0000-0000-0000A5000000}"/>
    <cellStyle name="40% - Акцент6 2" xfId="167" xr:uid="{00000000-0005-0000-0000-0000A6000000}"/>
    <cellStyle name="40% - Акцент6 2 2" xfId="168" xr:uid="{00000000-0005-0000-0000-0000A7000000}"/>
    <cellStyle name="40% - Акцент6 3 2" xfId="169" xr:uid="{00000000-0005-0000-0000-0000A8000000}"/>
    <cellStyle name="40% - Акцент6 4 2" xfId="170" xr:uid="{00000000-0005-0000-0000-0000A9000000}"/>
    <cellStyle name="40% - Акцент6 5 2" xfId="171" xr:uid="{00000000-0005-0000-0000-0000AA000000}"/>
    <cellStyle name="40% - Акцент6 6 2" xfId="172" xr:uid="{00000000-0005-0000-0000-0000AB000000}"/>
    <cellStyle name="40% - Акцент6 7 2" xfId="173" xr:uid="{00000000-0005-0000-0000-0000AC000000}"/>
    <cellStyle name="40% - Акцент6 8 2" xfId="174" xr:uid="{00000000-0005-0000-0000-0000AD000000}"/>
    <cellStyle name="40% - Акцент6 9 2" xfId="175" xr:uid="{00000000-0005-0000-0000-0000AE000000}"/>
    <cellStyle name="60% - Акцент1 10 2" xfId="176" xr:uid="{00000000-0005-0000-0000-0000AF000000}"/>
    <cellStyle name="60% - Акцент1 11" xfId="177" xr:uid="{00000000-0005-0000-0000-0000B0000000}"/>
    <cellStyle name="60% - Акцент1 2" xfId="178" xr:uid="{00000000-0005-0000-0000-0000B1000000}"/>
    <cellStyle name="60% - Акцент1 2 2" xfId="179" xr:uid="{00000000-0005-0000-0000-0000B2000000}"/>
    <cellStyle name="60% - Акцент1 3 2" xfId="180" xr:uid="{00000000-0005-0000-0000-0000B3000000}"/>
    <cellStyle name="60% - Акцент1 4 2" xfId="181" xr:uid="{00000000-0005-0000-0000-0000B4000000}"/>
    <cellStyle name="60% - Акцент1 5 2" xfId="182" xr:uid="{00000000-0005-0000-0000-0000B5000000}"/>
    <cellStyle name="60% - Акцент1 6 2" xfId="183" xr:uid="{00000000-0005-0000-0000-0000B6000000}"/>
    <cellStyle name="60% - Акцент1 7 2" xfId="184" xr:uid="{00000000-0005-0000-0000-0000B7000000}"/>
    <cellStyle name="60% - Акцент1 8 2" xfId="185" xr:uid="{00000000-0005-0000-0000-0000B8000000}"/>
    <cellStyle name="60% - Акцент1 9 2" xfId="186" xr:uid="{00000000-0005-0000-0000-0000B9000000}"/>
    <cellStyle name="60% - Акцент2 10 2" xfId="187" xr:uid="{00000000-0005-0000-0000-0000BA000000}"/>
    <cellStyle name="60% - Акцент2 11" xfId="188" xr:uid="{00000000-0005-0000-0000-0000BB000000}"/>
    <cellStyle name="60% - Акцент2 2" xfId="189" xr:uid="{00000000-0005-0000-0000-0000BC000000}"/>
    <cellStyle name="60% - Акцент2 2 2" xfId="190" xr:uid="{00000000-0005-0000-0000-0000BD000000}"/>
    <cellStyle name="60% - Акцент2 3 2" xfId="191" xr:uid="{00000000-0005-0000-0000-0000BE000000}"/>
    <cellStyle name="60% - Акцент2 4 2" xfId="192" xr:uid="{00000000-0005-0000-0000-0000BF000000}"/>
    <cellStyle name="60% - Акцент2 5 2" xfId="193" xr:uid="{00000000-0005-0000-0000-0000C0000000}"/>
    <cellStyle name="60% - Акцент2 6 2" xfId="194" xr:uid="{00000000-0005-0000-0000-0000C1000000}"/>
    <cellStyle name="60% - Акцент2 7 2" xfId="195" xr:uid="{00000000-0005-0000-0000-0000C2000000}"/>
    <cellStyle name="60% - Акцент2 8 2" xfId="196" xr:uid="{00000000-0005-0000-0000-0000C3000000}"/>
    <cellStyle name="60% - Акцент2 9 2" xfId="197" xr:uid="{00000000-0005-0000-0000-0000C4000000}"/>
    <cellStyle name="60% - Акцент3 10 2" xfId="198" xr:uid="{00000000-0005-0000-0000-0000C5000000}"/>
    <cellStyle name="60% - Акцент3 11" xfId="199" xr:uid="{00000000-0005-0000-0000-0000C6000000}"/>
    <cellStyle name="60% - Акцент3 2" xfId="200" xr:uid="{00000000-0005-0000-0000-0000C7000000}"/>
    <cellStyle name="60% - Акцент3 2 2" xfId="201" xr:uid="{00000000-0005-0000-0000-0000C8000000}"/>
    <cellStyle name="60% - Акцент3 3 2" xfId="202" xr:uid="{00000000-0005-0000-0000-0000C9000000}"/>
    <cellStyle name="60% - Акцент3 4 2" xfId="203" xr:uid="{00000000-0005-0000-0000-0000CA000000}"/>
    <cellStyle name="60% - Акцент3 5 2" xfId="204" xr:uid="{00000000-0005-0000-0000-0000CB000000}"/>
    <cellStyle name="60% - Акцент3 6 2" xfId="205" xr:uid="{00000000-0005-0000-0000-0000CC000000}"/>
    <cellStyle name="60% - Акцент3 7 2" xfId="206" xr:uid="{00000000-0005-0000-0000-0000CD000000}"/>
    <cellStyle name="60% - Акцент3 8 2" xfId="207" xr:uid="{00000000-0005-0000-0000-0000CE000000}"/>
    <cellStyle name="60% - Акцент3 9 2" xfId="208" xr:uid="{00000000-0005-0000-0000-0000CF000000}"/>
    <cellStyle name="60% - Акцент4 10 2" xfId="209" xr:uid="{00000000-0005-0000-0000-0000D0000000}"/>
    <cellStyle name="60% - Акцент4 11" xfId="210" xr:uid="{00000000-0005-0000-0000-0000D1000000}"/>
    <cellStyle name="60% - Акцент4 2" xfId="211" xr:uid="{00000000-0005-0000-0000-0000D2000000}"/>
    <cellStyle name="60% - Акцент4 2 2" xfId="212" xr:uid="{00000000-0005-0000-0000-0000D3000000}"/>
    <cellStyle name="60% - Акцент4 3 2" xfId="213" xr:uid="{00000000-0005-0000-0000-0000D4000000}"/>
    <cellStyle name="60% - Акцент4 4 2" xfId="214" xr:uid="{00000000-0005-0000-0000-0000D5000000}"/>
    <cellStyle name="60% - Акцент4 5 2" xfId="215" xr:uid="{00000000-0005-0000-0000-0000D6000000}"/>
    <cellStyle name="60% - Акцент4 6 2" xfId="216" xr:uid="{00000000-0005-0000-0000-0000D7000000}"/>
    <cellStyle name="60% - Акцент4 7 2" xfId="217" xr:uid="{00000000-0005-0000-0000-0000D8000000}"/>
    <cellStyle name="60% - Акцент4 8 2" xfId="218" xr:uid="{00000000-0005-0000-0000-0000D9000000}"/>
    <cellStyle name="60% - Акцент4 9 2" xfId="219" xr:uid="{00000000-0005-0000-0000-0000DA000000}"/>
    <cellStyle name="60% - Акцент5 10 2" xfId="220" xr:uid="{00000000-0005-0000-0000-0000DB000000}"/>
    <cellStyle name="60% - Акцент5 11" xfId="221" xr:uid="{00000000-0005-0000-0000-0000DC000000}"/>
    <cellStyle name="60% - Акцент5 2" xfId="222" xr:uid="{00000000-0005-0000-0000-0000DD000000}"/>
    <cellStyle name="60% - Акцент5 2 2" xfId="223" xr:uid="{00000000-0005-0000-0000-0000DE000000}"/>
    <cellStyle name="60% - Акцент5 3 2" xfId="224" xr:uid="{00000000-0005-0000-0000-0000DF000000}"/>
    <cellStyle name="60% - Акцент5 4 2" xfId="225" xr:uid="{00000000-0005-0000-0000-0000E0000000}"/>
    <cellStyle name="60% - Акцент5 5 2" xfId="226" xr:uid="{00000000-0005-0000-0000-0000E1000000}"/>
    <cellStyle name="60% - Акцент5 6 2" xfId="227" xr:uid="{00000000-0005-0000-0000-0000E2000000}"/>
    <cellStyle name="60% - Акцент5 7 2" xfId="228" xr:uid="{00000000-0005-0000-0000-0000E3000000}"/>
    <cellStyle name="60% - Акцент5 8 2" xfId="229" xr:uid="{00000000-0005-0000-0000-0000E4000000}"/>
    <cellStyle name="60% - Акцент5 9 2" xfId="230" xr:uid="{00000000-0005-0000-0000-0000E5000000}"/>
    <cellStyle name="60% - Акцент6 10 2" xfId="231" xr:uid="{00000000-0005-0000-0000-0000E6000000}"/>
    <cellStyle name="60% - Акцент6 11" xfId="232" xr:uid="{00000000-0005-0000-0000-0000E7000000}"/>
    <cellStyle name="60% - Акцент6 2" xfId="233" xr:uid="{00000000-0005-0000-0000-0000E8000000}"/>
    <cellStyle name="60% - Акцент6 2 2" xfId="234" xr:uid="{00000000-0005-0000-0000-0000E9000000}"/>
    <cellStyle name="60% - Акцент6 3 2" xfId="235" xr:uid="{00000000-0005-0000-0000-0000EA000000}"/>
    <cellStyle name="60% - Акцент6 4 2" xfId="236" xr:uid="{00000000-0005-0000-0000-0000EB000000}"/>
    <cellStyle name="60% - Акцент6 5 2" xfId="237" xr:uid="{00000000-0005-0000-0000-0000EC000000}"/>
    <cellStyle name="60% - Акцент6 6 2" xfId="238" xr:uid="{00000000-0005-0000-0000-0000ED000000}"/>
    <cellStyle name="60% - Акцент6 7 2" xfId="239" xr:uid="{00000000-0005-0000-0000-0000EE000000}"/>
    <cellStyle name="60% - Акцент6 8 2" xfId="240" xr:uid="{00000000-0005-0000-0000-0000EF000000}"/>
    <cellStyle name="60% - Акцент6 9 2" xfId="241" xr:uid="{00000000-0005-0000-0000-0000F0000000}"/>
    <cellStyle name="Comma [0]" xfId="242" xr:uid="{00000000-0005-0000-0000-0000F1000000}"/>
    <cellStyle name="Comma_irl tel sep5" xfId="243" xr:uid="{00000000-0005-0000-0000-0000F2000000}"/>
    <cellStyle name="Currency [0]" xfId="244" xr:uid="{00000000-0005-0000-0000-0000F3000000}"/>
    <cellStyle name="Currency_irl tel sep5" xfId="245" xr:uid="{00000000-0005-0000-0000-0000F4000000}"/>
    <cellStyle name="Excel Built-in Normal" xfId="246" xr:uid="{00000000-0005-0000-0000-0000F5000000}"/>
    <cellStyle name="Grey" xfId="247" xr:uid="{00000000-0005-0000-0000-0000F6000000}"/>
    <cellStyle name="Input [yellow]" xfId="248" xr:uid="{00000000-0005-0000-0000-0000F7000000}"/>
    <cellStyle name="Input [yellow] 2" xfId="249" xr:uid="{00000000-0005-0000-0000-0000F8000000}"/>
    <cellStyle name="Input [yellow] 2 2" xfId="250" xr:uid="{00000000-0005-0000-0000-0000F9000000}"/>
    <cellStyle name="Input [yellow] 2 3" xfId="251" xr:uid="{00000000-0005-0000-0000-0000FA000000}"/>
    <cellStyle name="Input [yellow] 2 4" xfId="252" xr:uid="{00000000-0005-0000-0000-0000FB000000}"/>
    <cellStyle name="Input [yellow] 2 5" xfId="253" xr:uid="{00000000-0005-0000-0000-0000FC000000}"/>
    <cellStyle name="Input [yellow] 2 6" xfId="254" xr:uid="{00000000-0005-0000-0000-0000FD000000}"/>
    <cellStyle name="Input [yellow] 2 7" xfId="255" xr:uid="{00000000-0005-0000-0000-0000FE000000}"/>
    <cellStyle name="Normal - Style1" xfId="256" xr:uid="{00000000-0005-0000-0000-0000FF000000}"/>
    <cellStyle name="Normal 2" xfId="257" xr:uid="{00000000-0005-0000-0000-000000010000}"/>
    <cellStyle name="Normal_1702H" xfId="258" xr:uid="{00000000-0005-0000-0000-000001010000}"/>
    <cellStyle name="normбlnм_laroux" xfId="259" xr:uid="{00000000-0005-0000-0000-000002010000}"/>
    <cellStyle name="Percent [2]" xfId="260" xr:uid="{00000000-0005-0000-0000-000003010000}"/>
    <cellStyle name="SsrChapter" xfId="261" xr:uid="{00000000-0005-0000-0000-000004010000}"/>
    <cellStyle name="Акт" xfId="262" xr:uid="{00000000-0005-0000-0000-000005010000}"/>
    <cellStyle name="Акт 2" xfId="263" xr:uid="{00000000-0005-0000-0000-000006010000}"/>
    <cellStyle name="АктМТСН" xfId="264" xr:uid="{00000000-0005-0000-0000-000007010000}"/>
    <cellStyle name="Акцент1 10 2" xfId="265" xr:uid="{00000000-0005-0000-0000-000008010000}"/>
    <cellStyle name="Акцент1 11" xfId="266" xr:uid="{00000000-0005-0000-0000-000009010000}"/>
    <cellStyle name="Акцент1 2" xfId="267" xr:uid="{00000000-0005-0000-0000-00000A010000}"/>
    <cellStyle name="Акцент1 2 2" xfId="268" xr:uid="{00000000-0005-0000-0000-00000B010000}"/>
    <cellStyle name="Акцент1 3 2" xfId="269" xr:uid="{00000000-0005-0000-0000-00000C010000}"/>
    <cellStyle name="Акцент1 4 2" xfId="270" xr:uid="{00000000-0005-0000-0000-00000D010000}"/>
    <cellStyle name="Акцент1 5 2" xfId="271" xr:uid="{00000000-0005-0000-0000-00000E010000}"/>
    <cellStyle name="Акцент1 6 2" xfId="272" xr:uid="{00000000-0005-0000-0000-00000F010000}"/>
    <cellStyle name="Акцент1 7 2" xfId="273" xr:uid="{00000000-0005-0000-0000-000010010000}"/>
    <cellStyle name="Акцент1 8 2" xfId="274" xr:uid="{00000000-0005-0000-0000-000011010000}"/>
    <cellStyle name="Акцент1 9 2" xfId="275" xr:uid="{00000000-0005-0000-0000-000012010000}"/>
    <cellStyle name="Акцент2 10 2" xfId="276" xr:uid="{00000000-0005-0000-0000-000013010000}"/>
    <cellStyle name="Акцент2 11" xfId="277" xr:uid="{00000000-0005-0000-0000-000014010000}"/>
    <cellStyle name="Акцент2 2" xfId="278" xr:uid="{00000000-0005-0000-0000-000015010000}"/>
    <cellStyle name="Акцент2 2 2" xfId="279" xr:uid="{00000000-0005-0000-0000-000016010000}"/>
    <cellStyle name="Акцент2 3 2" xfId="280" xr:uid="{00000000-0005-0000-0000-000017010000}"/>
    <cellStyle name="Акцент2 4 2" xfId="281" xr:uid="{00000000-0005-0000-0000-000018010000}"/>
    <cellStyle name="Акцент2 5 2" xfId="282" xr:uid="{00000000-0005-0000-0000-000019010000}"/>
    <cellStyle name="Акцент2 6 2" xfId="283" xr:uid="{00000000-0005-0000-0000-00001A010000}"/>
    <cellStyle name="Акцент2 7 2" xfId="284" xr:uid="{00000000-0005-0000-0000-00001B010000}"/>
    <cellStyle name="Акцент2 8 2" xfId="285" xr:uid="{00000000-0005-0000-0000-00001C010000}"/>
    <cellStyle name="Акцент2 9 2" xfId="286" xr:uid="{00000000-0005-0000-0000-00001D010000}"/>
    <cellStyle name="Акцент3 10 2" xfId="287" xr:uid="{00000000-0005-0000-0000-00001E010000}"/>
    <cellStyle name="Акцент3 11" xfId="288" xr:uid="{00000000-0005-0000-0000-00001F010000}"/>
    <cellStyle name="Акцент3 2" xfId="289" xr:uid="{00000000-0005-0000-0000-000020010000}"/>
    <cellStyle name="Акцент3 2 2" xfId="290" xr:uid="{00000000-0005-0000-0000-000021010000}"/>
    <cellStyle name="Акцент3 3 2" xfId="291" xr:uid="{00000000-0005-0000-0000-000022010000}"/>
    <cellStyle name="Акцент3 4 2" xfId="292" xr:uid="{00000000-0005-0000-0000-000023010000}"/>
    <cellStyle name="Акцент3 5 2" xfId="293" xr:uid="{00000000-0005-0000-0000-000024010000}"/>
    <cellStyle name="Акцент3 6 2" xfId="294" xr:uid="{00000000-0005-0000-0000-000025010000}"/>
    <cellStyle name="Акцент3 7 2" xfId="295" xr:uid="{00000000-0005-0000-0000-000026010000}"/>
    <cellStyle name="Акцент3 8 2" xfId="296" xr:uid="{00000000-0005-0000-0000-000027010000}"/>
    <cellStyle name="Акцент3 9 2" xfId="297" xr:uid="{00000000-0005-0000-0000-000028010000}"/>
    <cellStyle name="Акцент4 10 2" xfId="298" xr:uid="{00000000-0005-0000-0000-000029010000}"/>
    <cellStyle name="Акцент4 11" xfId="299" xr:uid="{00000000-0005-0000-0000-00002A010000}"/>
    <cellStyle name="Акцент4 2" xfId="300" xr:uid="{00000000-0005-0000-0000-00002B010000}"/>
    <cellStyle name="Акцент4 2 2" xfId="301" xr:uid="{00000000-0005-0000-0000-00002C010000}"/>
    <cellStyle name="Акцент4 3 2" xfId="302" xr:uid="{00000000-0005-0000-0000-00002D010000}"/>
    <cellStyle name="Акцент4 4 2" xfId="303" xr:uid="{00000000-0005-0000-0000-00002E010000}"/>
    <cellStyle name="Акцент4 5 2" xfId="304" xr:uid="{00000000-0005-0000-0000-00002F010000}"/>
    <cellStyle name="Акцент4 6 2" xfId="305" xr:uid="{00000000-0005-0000-0000-000030010000}"/>
    <cellStyle name="Акцент4 7 2" xfId="306" xr:uid="{00000000-0005-0000-0000-000031010000}"/>
    <cellStyle name="Акцент4 8 2" xfId="307" xr:uid="{00000000-0005-0000-0000-000032010000}"/>
    <cellStyle name="Акцент4 9 2" xfId="308" xr:uid="{00000000-0005-0000-0000-000033010000}"/>
    <cellStyle name="Акцент5 10 2" xfId="309" xr:uid="{00000000-0005-0000-0000-000034010000}"/>
    <cellStyle name="Акцент5 11" xfId="310" xr:uid="{00000000-0005-0000-0000-000035010000}"/>
    <cellStyle name="Акцент5 2" xfId="311" xr:uid="{00000000-0005-0000-0000-000036010000}"/>
    <cellStyle name="Акцент5 2 2" xfId="312" xr:uid="{00000000-0005-0000-0000-000037010000}"/>
    <cellStyle name="Акцент5 3 2" xfId="313" xr:uid="{00000000-0005-0000-0000-000038010000}"/>
    <cellStyle name="Акцент5 4 2" xfId="314" xr:uid="{00000000-0005-0000-0000-000039010000}"/>
    <cellStyle name="Акцент5 5 2" xfId="315" xr:uid="{00000000-0005-0000-0000-00003A010000}"/>
    <cellStyle name="Акцент5 6 2" xfId="316" xr:uid="{00000000-0005-0000-0000-00003B010000}"/>
    <cellStyle name="Акцент5 7 2" xfId="317" xr:uid="{00000000-0005-0000-0000-00003C010000}"/>
    <cellStyle name="Акцент5 8 2" xfId="318" xr:uid="{00000000-0005-0000-0000-00003D010000}"/>
    <cellStyle name="Акцент5 9 2" xfId="319" xr:uid="{00000000-0005-0000-0000-00003E010000}"/>
    <cellStyle name="Акцент6 10 2" xfId="320" xr:uid="{00000000-0005-0000-0000-00003F010000}"/>
    <cellStyle name="Акцент6 11" xfId="321" xr:uid="{00000000-0005-0000-0000-000040010000}"/>
    <cellStyle name="Акцент6 2" xfId="322" xr:uid="{00000000-0005-0000-0000-000041010000}"/>
    <cellStyle name="Акцент6 2 2" xfId="323" xr:uid="{00000000-0005-0000-0000-000042010000}"/>
    <cellStyle name="Акцент6 3 2" xfId="324" xr:uid="{00000000-0005-0000-0000-000043010000}"/>
    <cellStyle name="Акцент6 4 2" xfId="325" xr:uid="{00000000-0005-0000-0000-000044010000}"/>
    <cellStyle name="Акцент6 5 2" xfId="326" xr:uid="{00000000-0005-0000-0000-000045010000}"/>
    <cellStyle name="Акцент6 6 2" xfId="327" xr:uid="{00000000-0005-0000-0000-000046010000}"/>
    <cellStyle name="Акцент6 7 2" xfId="328" xr:uid="{00000000-0005-0000-0000-000047010000}"/>
    <cellStyle name="Акцент6 8 2" xfId="329" xr:uid="{00000000-0005-0000-0000-000048010000}"/>
    <cellStyle name="Акцент6 9 2" xfId="330" xr:uid="{00000000-0005-0000-0000-000049010000}"/>
    <cellStyle name="Ввод  10 2" xfId="331" xr:uid="{00000000-0005-0000-0000-00004A010000}"/>
    <cellStyle name="Ввод  10 2 2" xfId="332" xr:uid="{00000000-0005-0000-0000-00004B010000}"/>
    <cellStyle name="Ввод  10 2 3" xfId="333" xr:uid="{00000000-0005-0000-0000-00004C010000}"/>
    <cellStyle name="Ввод  10 2 4" xfId="334" xr:uid="{00000000-0005-0000-0000-00004D010000}"/>
    <cellStyle name="Ввод  10 2 5" xfId="335" xr:uid="{00000000-0005-0000-0000-00004E010000}"/>
    <cellStyle name="Ввод  10 2 6" xfId="336" xr:uid="{00000000-0005-0000-0000-00004F010000}"/>
    <cellStyle name="Ввод  10 2 7" xfId="337" xr:uid="{00000000-0005-0000-0000-000050010000}"/>
    <cellStyle name="Ввод  11" xfId="338" xr:uid="{00000000-0005-0000-0000-000051010000}"/>
    <cellStyle name="Ввод  11 2" xfId="339" xr:uid="{00000000-0005-0000-0000-000052010000}"/>
    <cellStyle name="Ввод  11 3" xfId="340" xr:uid="{00000000-0005-0000-0000-000053010000}"/>
    <cellStyle name="Ввод  11 4" xfId="341" xr:uid="{00000000-0005-0000-0000-000054010000}"/>
    <cellStyle name="Ввод  11 5" xfId="342" xr:uid="{00000000-0005-0000-0000-000055010000}"/>
    <cellStyle name="Ввод  11 6" xfId="343" xr:uid="{00000000-0005-0000-0000-000056010000}"/>
    <cellStyle name="Ввод  11 7" xfId="344" xr:uid="{00000000-0005-0000-0000-000057010000}"/>
    <cellStyle name="Ввод  2" xfId="345" xr:uid="{00000000-0005-0000-0000-000058010000}"/>
    <cellStyle name="Ввод  2 2" xfId="346" xr:uid="{00000000-0005-0000-0000-000059010000}"/>
    <cellStyle name="Ввод  2 2 2" xfId="347" xr:uid="{00000000-0005-0000-0000-00005A010000}"/>
    <cellStyle name="Ввод  2 2 3" xfId="348" xr:uid="{00000000-0005-0000-0000-00005B010000}"/>
    <cellStyle name="Ввод  2 2 4" xfId="349" xr:uid="{00000000-0005-0000-0000-00005C010000}"/>
    <cellStyle name="Ввод  2 2 5" xfId="350" xr:uid="{00000000-0005-0000-0000-00005D010000}"/>
    <cellStyle name="Ввод  2 2 6" xfId="351" xr:uid="{00000000-0005-0000-0000-00005E010000}"/>
    <cellStyle name="Ввод  2 2 7" xfId="352" xr:uid="{00000000-0005-0000-0000-00005F010000}"/>
    <cellStyle name="Ввод  2 3" xfId="353" xr:uid="{00000000-0005-0000-0000-000060010000}"/>
    <cellStyle name="Ввод  2 4" xfId="354" xr:uid="{00000000-0005-0000-0000-000061010000}"/>
    <cellStyle name="Ввод  2 5" xfId="355" xr:uid="{00000000-0005-0000-0000-000062010000}"/>
    <cellStyle name="Ввод  2 6" xfId="356" xr:uid="{00000000-0005-0000-0000-000063010000}"/>
    <cellStyle name="Ввод  2 7" xfId="357" xr:uid="{00000000-0005-0000-0000-000064010000}"/>
    <cellStyle name="Ввод  2 8" xfId="358" xr:uid="{00000000-0005-0000-0000-000065010000}"/>
    <cellStyle name="Ввод  3 2" xfId="359" xr:uid="{00000000-0005-0000-0000-000066010000}"/>
    <cellStyle name="Ввод  3 2 2" xfId="360" xr:uid="{00000000-0005-0000-0000-000067010000}"/>
    <cellStyle name="Ввод  3 2 3" xfId="361" xr:uid="{00000000-0005-0000-0000-000068010000}"/>
    <cellStyle name="Ввод  3 2 4" xfId="362" xr:uid="{00000000-0005-0000-0000-000069010000}"/>
    <cellStyle name="Ввод  3 2 5" xfId="363" xr:uid="{00000000-0005-0000-0000-00006A010000}"/>
    <cellStyle name="Ввод  3 2 6" xfId="364" xr:uid="{00000000-0005-0000-0000-00006B010000}"/>
    <cellStyle name="Ввод  3 2 7" xfId="365" xr:uid="{00000000-0005-0000-0000-00006C010000}"/>
    <cellStyle name="Ввод  4 2" xfId="366" xr:uid="{00000000-0005-0000-0000-00006D010000}"/>
    <cellStyle name="Ввод  4 2 2" xfId="367" xr:uid="{00000000-0005-0000-0000-00006E010000}"/>
    <cellStyle name="Ввод  4 2 3" xfId="368" xr:uid="{00000000-0005-0000-0000-00006F010000}"/>
    <cellStyle name="Ввод  4 2 4" xfId="369" xr:uid="{00000000-0005-0000-0000-000070010000}"/>
    <cellStyle name="Ввод  4 2 5" xfId="370" xr:uid="{00000000-0005-0000-0000-000071010000}"/>
    <cellStyle name="Ввод  4 2 6" xfId="371" xr:uid="{00000000-0005-0000-0000-000072010000}"/>
    <cellStyle name="Ввод  4 2 7" xfId="372" xr:uid="{00000000-0005-0000-0000-000073010000}"/>
    <cellStyle name="Ввод  5 2" xfId="373" xr:uid="{00000000-0005-0000-0000-000074010000}"/>
    <cellStyle name="Ввод  5 2 2" xfId="374" xr:uid="{00000000-0005-0000-0000-000075010000}"/>
    <cellStyle name="Ввод  5 2 3" xfId="375" xr:uid="{00000000-0005-0000-0000-000076010000}"/>
    <cellStyle name="Ввод  5 2 4" xfId="376" xr:uid="{00000000-0005-0000-0000-000077010000}"/>
    <cellStyle name="Ввод  5 2 5" xfId="377" xr:uid="{00000000-0005-0000-0000-000078010000}"/>
    <cellStyle name="Ввод  5 2 6" xfId="378" xr:uid="{00000000-0005-0000-0000-000079010000}"/>
    <cellStyle name="Ввод  5 2 7" xfId="379" xr:uid="{00000000-0005-0000-0000-00007A010000}"/>
    <cellStyle name="Ввод  6 2" xfId="380" xr:uid="{00000000-0005-0000-0000-00007B010000}"/>
    <cellStyle name="Ввод  6 2 2" xfId="381" xr:uid="{00000000-0005-0000-0000-00007C010000}"/>
    <cellStyle name="Ввод  6 2 3" xfId="382" xr:uid="{00000000-0005-0000-0000-00007D010000}"/>
    <cellStyle name="Ввод  6 2 4" xfId="383" xr:uid="{00000000-0005-0000-0000-00007E010000}"/>
    <cellStyle name="Ввод  6 2 5" xfId="384" xr:uid="{00000000-0005-0000-0000-00007F010000}"/>
    <cellStyle name="Ввод  6 2 6" xfId="385" xr:uid="{00000000-0005-0000-0000-000080010000}"/>
    <cellStyle name="Ввод  6 2 7" xfId="386" xr:uid="{00000000-0005-0000-0000-000081010000}"/>
    <cellStyle name="Ввод  7 2" xfId="387" xr:uid="{00000000-0005-0000-0000-000082010000}"/>
    <cellStyle name="Ввод  7 2 2" xfId="388" xr:uid="{00000000-0005-0000-0000-000083010000}"/>
    <cellStyle name="Ввод  7 2 3" xfId="389" xr:uid="{00000000-0005-0000-0000-000084010000}"/>
    <cellStyle name="Ввод  7 2 4" xfId="390" xr:uid="{00000000-0005-0000-0000-000085010000}"/>
    <cellStyle name="Ввод  7 2 5" xfId="391" xr:uid="{00000000-0005-0000-0000-000086010000}"/>
    <cellStyle name="Ввод  7 2 6" xfId="392" xr:uid="{00000000-0005-0000-0000-000087010000}"/>
    <cellStyle name="Ввод  7 2 7" xfId="393" xr:uid="{00000000-0005-0000-0000-000088010000}"/>
    <cellStyle name="Ввод  8 2" xfId="394" xr:uid="{00000000-0005-0000-0000-000089010000}"/>
    <cellStyle name="Ввод  8 2 2" xfId="395" xr:uid="{00000000-0005-0000-0000-00008A010000}"/>
    <cellStyle name="Ввод  8 2 3" xfId="396" xr:uid="{00000000-0005-0000-0000-00008B010000}"/>
    <cellStyle name="Ввод  8 2 4" xfId="397" xr:uid="{00000000-0005-0000-0000-00008C010000}"/>
    <cellStyle name="Ввод  8 2 5" xfId="398" xr:uid="{00000000-0005-0000-0000-00008D010000}"/>
    <cellStyle name="Ввод  8 2 6" xfId="399" xr:uid="{00000000-0005-0000-0000-00008E010000}"/>
    <cellStyle name="Ввод  8 2 7" xfId="400" xr:uid="{00000000-0005-0000-0000-00008F010000}"/>
    <cellStyle name="Ввод  9 2" xfId="401" xr:uid="{00000000-0005-0000-0000-000090010000}"/>
    <cellStyle name="Ввод  9 2 2" xfId="402" xr:uid="{00000000-0005-0000-0000-000091010000}"/>
    <cellStyle name="Ввод  9 2 3" xfId="403" xr:uid="{00000000-0005-0000-0000-000092010000}"/>
    <cellStyle name="Ввод  9 2 4" xfId="404" xr:uid="{00000000-0005-0000-0000-000093010000}"/>
    <cellStyle name="Ввод  9 2 5" xfId="405" xr:uid="{00000000-0005-0000-0000-000094010000}"/>
    <cellStyle name="Ввод  9 2 6" xfId="406" xr:uid="{00000000-0005-0000-0000-000095010000}"/>
    <cellStyle name="Ввод  9 2 7" xfId="407" xr:uid="{00000000-0005-0000-0000-000096010000}"/>
    <cellStyle name="ВедРесурсов" xfId="408" xr:uid="{00000000-0005-0000-0000-000097010000}"/>
    <cellStyle name="ВедРесурсов 2" xfId="409" xr:uid="{00000000-0005-0000-0000-000098010000}"/>
    <cellStyle name="ВедРесурсовАкт" xfId="410" xr:uid="{00000000-0005-0000-0000-000099010000}"/>
    <cellStyle name="Вывод 10 2" xfId="411" xr:uid="{00000000-0005-0000-0000-00009A010000}"/>
    <cellStyle name="Вывод 10 2 2" xfId="412" xr:uid="{00000000-0005-0000-0000-00009B010000}"/>
    <cellStyle name="Вывод 10 2 3" xfId="413" xr:uid="{00000000-0005-0000-0000-00009C010000}"/>
    <cellStyle name="Вывод 10 2 4" xfId="414" xr:uid="{00000000-0005-0000-0000-00009D010000}"/>
    <cellStyle name="Вывод 10 2 5" xfId="415" xr:uid="{00000000-0005-0000-0000-00009E010000}"/>
    <cellStyle name="Вывод 10 2 6" xfId="416" xr:uid="{00000000-0005-0000-0000-00009F010000}"/>
    <cellStyle name="Вывод 10 2 7" xfId="417" xr:uid="{00000000-0005-0000-0000-0000A0010000}"/>
    <cellStyle name="Вывод 11" xfId="418" xr:uid="{00000000-0005-0000-0000-0000A1010000}"/>
    <cellStyle name="Вывод 11 2" xfId="419" xr:uid="{00000000-0005-0000-0000-0000A2010000}"/>
    <cellStyle name="Вывод 11 3" xfId="420" xr:uid="{00000000-0005-0000-0000-0000A3010000}"/>
    <cellStyle name="Вывод 11 4" xfId="421" xr:uid="{00000000-0005-0000-0000-0000A4010000}"/>
    <cellStyle name="Вывод 11 5" xfId="422" xr:uid="{00000000-0005-0000-0000-0000A5010000}"/>
    <cellStyle name="Вывод 11 6" xfId="423" xr:uid="{00000000-0005-0000-0000-0000A6010000}"/>
    <cellStyle name="Вывод 11 7" xfId="424" xr:uid="{00000000-0005-0000-0000-0000A7010000}"/>
    <cellStyle name="Вывод 2" xfId="425" xr:uid="{00000000-0005-0000-0000-0000A8010000}"/>
    <cellStyle name="Вывод 2 2" xfId="426" xr:uid="{00000000-0005-0000-0000-0000A9010000}"/>
    <cellStyle name="Вывод 2 2 2" xfId="427" xr:uid="{00000000-0005-0000-0000-0000AA010000}"/>
    <cellStyle name="Вывод 2 2 3" xfId="428" xr:uid="{00000000-0005-0000-0000-0000AB010000}"/>
    <cellStyle name="Вывод 2 2 4" xfId="429" xr:uid="{00000000-0005-0000-0000-0000AC010000}"/>
    <cellStyle name="Вывод 2 2 5" xfId="430" xr:uid="{00000000-0005-0000-0000-0000AD010000}"/>
    <cellStyle name="Вывод 2 2 6" xfId="431" xr:uid="{00000000-0005-0000-0000-0000AE010000}"/>
    <cellStyle name="Вывод 2 2 7" xfId="432" xr:uid="{00000000-0005-0000-0000-0000AF010000}"/>
    <cellStyle name="Вывод 2 3" xfId="433" xr:uid="{00000000-0005-0000-0000-0000B0010000}"/>
    <cellStyle name="Вывод 2 4" xfId="434" xr:uid="{00000000-0005-0000-0000-0000B1010000}"/>
    <cellStyle name="Вывод 2 5" xfId="435" xr:uid="{00000000-0005-0000-0000-0000B2010000}"/>
    <cellStyle name="Вывод 2 6" xfId="436" xr:uid="{00000000-0005-0000-0000-0000B3010000}"/>
    <cellStyle name="Вывод 2 7" xfId="437" xr:uid="{00000000-0005-0000-0000-0000B4010000}"/>
    <cellStyle name="Вывод 2 8" xfId="438" xr:uid="{00000000-0005-0000-0000-0000B5010000}"/>
    <cellStyle name="Вывод 3 2" xfId="439" xr:uid="{00000000-0005-0000-0000-0000B6010000}"/>
    <cellStyle name="Вывод 3 2 2" xfId="440" xr:uid="{00000000-0005-0000-0000-0000B7010000}"/>
    <cellStyle name="Вывод 3 2 3" xfId="441" xr:uid="{00000000-0005-0000-0000-0000B8010000}"/>
    <cellStyle name="Вывод 3 2 4" xfId="442" xr:uid="{00000000-0005-0000-0000-0000B9010000}"/>
    <cellStyle name="Вывод 3 2 5" xfId="443" xr:uid="{00000000-0005-0000-0000-0000BA010000}"/>
    <cellStyle name="Вывод 3 2 6" xfId="444" xr:uid="{00000000-0005-0000-0000-0000BB010000}"/>
    <cellStyle name="Вывод 3 2 7" xfId="445" xr:uid="{00000000-0005-0000-0000-0000BC010000}"/>
    <cellStyle name="Вывод 4 2" xfId="446" xr:uid="{00000000-0005-0000-0000-0000BD010000}"/>
    <cellStyle name="Вывод 4 2 2" xfId="447" xr:uid="{00000000-0005-0000-0000-0000BE010000}"/>
    <cellStyle name="Вывод 4 2 3" xfId="448" xr:uid="{00000000-0005-0000-0000-0000BF010000}"/>
    <cellStyle name="Вывод 4 2 4" xfId="449" xr:uid="{00000000-0005-0000-0000-0000C0010000}"/>
    <cellStyle name="Вывод 4 2 5" xfId="450" xr:uid="{00000000-0005-0000-0000-0000C1010000}"/>
    <cellStyle name="Вывод 4 2 6" xfId="451" xr:uid="{00000000-0005-0000-0000-0000C2010000}"/>
    <cellStyle name="Вывод 4 2 7" xfId="452" xr:uid="{00000000-0005-0000-0000-0000C3010000}"/>
    <cellStyle name="Вывод 5 2" xfId="453" xr:uid="{00000000-0005-0000-0000-0000C4010000}"/>
    <cellStyle name="Вывод 5 2 2" xfId="454" xr:uid="{00000000-0005-0000-0000-0000C5010000}"/>
    <cellStyle name="Вывод 5 2 3" xfId="455" xr:uid="{00000000-0005-0000-0000-0000C6010000}"/>
    <cellStyle name="Вывод 5 2 4" xfId="456" xr:uid="{00000000-0005-0000-0000-0000C7010000}"/>
    <cellStyle name="Вывод 5 2 5" xfId="457" xr:uid="{00000000-0005-0000-0000-0000C8010000}"/>
    <cellStyle name="Вывод 5 2 6" xfId="458" xr:uid="{00000000-0005-0000-0000-0000C9010000}"/>
    <cellStyle name="Вывод 5 2 7" xfId="459" xr:uid="{00000000-0005-0000-0000-0000CA010000}"/>
    <cellStyle name="Вывод 6 2" xfId="460" xr:uid="{00000000-0005-0000-0000-0000CB010000}"/>
    <cellStyle name="Вывод 6 2 2" xfId="461" xr:uid="{00000000-0005-0000-0000-0000CC010000}"/>
    <cellStyle name="Вывод 6 2 3" xfId="462" xr:uid="{00000000-0005-0000-0000-0000CD010000}"/>
    <cellStyle name="Вывод 6 2 4" xfId="463" xr:uid="{00000000-0005-0000-0000-0000CE010000}"/>
    <cellStyle name="Вывод 6 2 5" xfId="464" xr:uid="{00000000-0005-0000-0000-0000CF010000}"/>
    <cellStyle name="Вывод 6 2 6" xfId="465" xr:uid="{00000000-0005-0000-0000-0000D0010000}"/>
    <cellStyle name="Вывод 6 2 7" xfId="466" xr:uid="{00000000-0005-0000-0000-0000D1010000}"/>
    <cellStyle name="Вывод 7 2" xfId="467" xr:uid="{00000000-0005-0000-0000-0000D2010000}"/>
    <cellStyle name="Вывод 7 2 2" xfId="468" xr:uid="{00000000-0005-0000-0000-0000D3010000}"/>
    <cellStyle name="Вывод 7 2 3" xfId="469" xr:uid="{00000000-0005-0000-0000-0000D4010000}"/>
    <cellStyle name="Вывод 7 2 4" xfId="470" xr:uid="{00000000-0005-0000-0000-0000D5010000}"/>
    <cellStyle name="Вывод 7 2 5" xfId="471" xr:uid="{00000000-0005-0000-0000-0000D6010000}"/>
    <cellStyle name="Вывод 7 2 6" xfId="472" xr:uid="{00000000-0005-0000-0000-0000D7010000}"/>
    <cellStyle name="Вывод 7 2 7" xfId="473" xr:uid="{00000000-0005-0000-0000-0000D8010000}"/>
    <cellStyle name="Вывод 8 2" xfId="474" xr:uid="{00000000-0005-0000-0000-0000D9010000}"/>
    <cellStyle name="Вывод 8 2 2" xfId="475" xr:uid="{00000000-0005-0000-0000-0000DA010000}"/>
    <cellStyle name="Вывод 8 2 3" xfId="476" xr:uid="{00000000-0005-0000-0000-0000DB010000}"/>
    <cellStyle name="Вывод 8 2 4" xfId="477" xr:uid="{00000000-0005-0000-0000-0000DC010000}"/>
    <cellStyle name="Вывод 8 2 5" xfId="478" xr:uid="{00000000-0005-0000-0000-0000DD010000}"/>
    <cellStyle name="Вывод 8 2 6" xfId="479" xr:uid="{00000000-0005-0000-0000-0000DE010000}"/>
    <cellStyle name="Вывод 8 2 7" xfId="480" xr:uid="{00000000-0005-0000-0000-0000DF010000}"/>
    <cellStyle name="Вывод 9 2" xfId="481" xr:uid="{00000000-0005-0000-0000-0000E0010000}"/>
    <cellStyle name="Вывод 9 2 2" xfId="482" xr:uid="{00000000-0005-0000-0000-0000E1010000}"/>
    <cellStyle name="Вывод 9 2 3" xfId="483" xr:uid="{00000000-0005-0000-0000-0000E2010000}"/>
    <cellStyle name="Вывод 9 2 4" xfId="484" xr:uid="{00000000-0005-0000-0000-0000E3010000}"/>
    <cellStyle name="Вывод 9 2 5" xfId="485" xr:uid="{00000000-0005-0000-0000-0000E4010000}"/>
    <cellStyle name="Вывод 9 2 6" xfId="486" xr:uid="{00000000-0005-0000-0000-0000E5010000}"/>
    <cellStyle name="Вывод 9 2 7" xfId="487" xr:uid="{00000000-0005-0000-0000-0000E6010000}"/>
    <cellStyle name="Вычисление 10 2" xfId="488" xr:uid="{00000000-0005-0000-0000-0000E7010000}"/>
    <cellStyle name="Вычисление 10 2 2" xfId="489" xr:uid="{00000000-0005-0000-0000-0000E8010000}"/>
    <cellStyle name="Вычисление 10 2 3" xfId="490" xr:uid="{00000000-0005-0000-0000-0000E9010000}"/>
    <cellStyle name="Вычисление 10 2 4" xfId="491" xr:uid="{00000000-0005-0000-0000-0000EA010000}"/>
    <cellStyle name="Вычисление 10 2 5" xfId="492" xr:uid="{00000000-0005-0000-0000-0000EB010000}"/>
    <cellStyle name="Вычисление 10 2 6" xfId="493" xr:uid="{00000000-0005-0000-0000-0000EC010000}"/>
    <cellStyle name="Вычисление 10 2 7" xfId="494" xr:uid="{00000000-0005-0000-0000-0000ED010000}"/>
    <cellStyle name="Вычисление 11" xfId="495" xr:uid="{00000000-0005-0000-0000-0000EE010000}"/>
    <cellStyle name="Вычисление 11 2" xfId="496" xr:uid="{00000000-0005-0000-0000-0000EF010000}"/>
    <cellStyle name="Вычисление 11 3" xfId="497" xr:uid="{00000000-0005-0000-0000-0000F0010000}"/>
    <cellStyle name="Вычисление 11 4" xfId="498" xr:uid="{00000000-0005-0000-0000-0000F1010000}"/>
    <cellStyle name="Вычисление 11 5" xfId="499" xr:uid="{00000000-0005-0000-0000-0000F2010000}"/>
    <cellStyle name="Вычисление 11 6" xfId="500" xr:uid="{00000000-0005-0000-0000-0000F3010000}"/>
    <cellStyle name="Вычисление 11 7" xfId="501" xr:uid="{00000000-0005-0000-0000-0000F4010000}"/>
    <cellStyle name="Вычисление 2" xfId="502" xr:uid="{00000000-0005-0000-0000-0000F5010000}"/>
    <cellStyle name="Вычисление 2 2" xfId="503" xr:uid="{00000000-0005-0000-0000-0000F6010000}"/>
    <cellStyle name="Вычисление 2 2 2" xfId="504" xr:uid="{00000000-0005-0000-0000-0000F7010000}"/>
    <cellStyle name="Вычисление 2 2 3" xfId="505" xr:uid="{00000000-0005-0000-0000-0000F8010000}"/>
    <cellStyle name="Вычисление 2 2 4" xfId="506" xr:uid="{00000000-0005-0000-0000-0000F9010000}"/>
    <cellStyle name="Вычисление 2 2 5" xfId="507" xr:uid="{00000000-0005-0000-0000-0000FA010000}"/>
    <cellStyle name="Вычисление 2 2 6" xfId="508" xr:uid="{00000000-0005-0000-0000-0000FB010000}"/>
    <cellStyle name="Вычисление 2 2 7" xfId="509" xr:uid="{00000000-0005-0000-0000-0000FC010000}"/>
    <cellStyle name="Вычисление 2 3" xfId="510" xr:uid="{00000000-0005-0000-0000-0000FD010000}"/>
    <cellStyle name="Вычисление 2 4" xfId="511" xr:uid="{00000000-0005-0000-0000-0000FE010000}"/>
    <cellStyle name="Вычисление 2 5" xfId="512" xr:uid="{00000000-0005-0000-0000-0000FF010000}"/>
    <cellStyle name="Вычисление 2 6" xfId="513" xr:uid="{00000000-0005-0000-0000-000000020000}"/>
    <cellStyle name="Вычисление 2 7" xfId="514" xr:uid="{00000000-0005-0000-0000-000001020000}"/>
    <cellStyle name="Вычисление 2 8" xfId="515" xr:uid="{00000000-0005-0000-0000-000002020000}"/>
    <cellStyle name="Вычисление 3 2" xfId="516" xr:uid="{00000000-0005-0000-0000-000003020000}"/>
    <cellStyle name="Вычисление 3 2 2" xfId="517" xr:uid="{00000000-0005-0000-0000-000004020000}"/>
    <cellStyle name="Вычисление 3 2 3" xfId="518" xr:uid="{00000000-0005-0000-0000-000005020000}"/>
    <cellStyle name="Вычисление 3 2 4" xfId="519" xr:uid="{00000000-0005-0000-0000-000006020000}"/>
    <cellStyle name="Вычисление 3 2 5" xfId="520" xr:uid="{00000000-0005-0000-0000-000007020000}"/>
    <cellStyle name="Вычисление 3 2 6" xfId="521" xr:uid="{00000000-0005-0000-0000-000008020000}"/>
    <cellStyle name="Вычисление 3 2 7" xfId="522" xr:uid="{00000000-0005-0000-0000-000009020000}"/>
    <cellStyle name="Вычисление 4 2" xfId="523" xr:uid="{00000000-0005-0000-0000-00000A020000}"/>
    <cellStyle name="Вычисление 4 2 2" xfId="524" xr:uid="{00000000-0005-0000-0000-00000B020000}"/>
    <cellStyle name="Вычисление 4 2 3" xfId="525" xr:uid="{00000000-0005-0000-0000-00000C020000}"/>
    <cellStyle name="Вычисление 4 2 4" xfId="526" xr:uid="{00000000-0005-0000-0000-00000D020000}"/>
    <cellStyle name="Вычисление 4 2 5" xfId="527" xr:uid="{00000000-0005-0000-0000-00000E020000}"/>
    <cellStyle name="Вычисление 4 2 6" xfId="528" xr:uid="{00000000-0005-0000-0000-00000F020000}"/>
    <cellStyle name="Вычисление 4 2 7" xfId="529" xr:uid="{00000000-0005-0000-0000-000010020000}"/>
    <cellStyle name="Вычисление 5 2" xfId="530" xr:uid="{00000000-0005-0000-0000-000011020000}"/>
    <cellStyle name="Вычисление 5 2 2" xfId="531" xr:uid="{00000000-0005-0000-0000-000012020000}"/>
    <cellStyle name="Вычисление 5 2 3" xfId="532" xr:uid="{00000000-0005-0000-0000-000013020000}"/>
    <cellStyle name="Вычисление 5 2 4" xfId="533" xr:uid="{00000000-0005-0000-0000-000014020000}"/>
    <cellStyle name="Вычисление 5 2 5" xfId="534" xr:uid="{00000000-0005-0000-0000-000015020000}"/>
    <cellStyle name="Вычисление 5 2 6" xfId="535" xr:uid="{00000000-0005-0000-0000-000016020000}"/>
    <cellStyle name="Вычисление 5 2 7" xfId="536" xr:uid="{00000000-0005-0000-0000-000017020000}"/>
    <cellStyle name="Вычисление 6 2" xfId="537" xr:uid="{00000000-0005-0000-0000-000018020000}"/>
    <cellStyle name="Вычисление 6 2 2" xfId="538" xr:uid="{00000000-0005-0000-0000-000019020000}"/>
    <cellStyle name="Вычисление 6 2 3" xfId="539" xr:uid="{00000000-0005-0000-0000-00001A020000}"/>
    <cellStyle name="Вычисление 6 2 4" xfId="540" xr:uid="{00000000-0005-0000-0000-00001B020000}"/>
    <cellStyle name="Вычисление 6 2 5" xfId="541" xr:uid="{00000000-0005-0000-0000-00001C020000}"/>
    <cellStyle name="Вычисление 6 2 6" xfId="542" xr:uid="{00000000-0005-0000-0000-00001D020000}"/>
    <cellStyle name="Вычисление 6 2 7" xfId="543" xr:uid="{00000000-0005-0000-0000-00001E020000}"/>
    <cellStyle name="Вычисление 7 2" xfId="544" xr:uid="{00000000-0005-0000-0000-00001F020000}"/>
    <cellStyle name="Вычисление 7 2 2" xfId="545" xr:uid="{00000000-0005-0000-0000-000020020000}"/>
    <cellStyle name="Вычисление 7 2 3" xfId="546" xr:uid="{00000000-0005-0000-0000-000021020000}"/>
    <cellStyle name="Вычисление 7 2 4" xfId="547" xr:uid="{00000000-0005-0000-0000-000022020000}"/>
    <cellStyle name="Вычисление 7 2 5" xfId="548" xr:uid="{00000000-0005-0000-0000-000023020000}"/>
    <cellStyle name="Вычисление 7 2 6" xfId="549" xr:uid="{00000000-0005-0000-0000-000024020000}"/>
    <cellStyle name="Вычисление 7 2 7" xfId="550" xr:uid="{00000000-0005-0000-0000-000025020000}"/>
    <cellStyle name="Вычисление 8 2" xfId="551" xr:uid="{00000000-0005-0000-0000-000026020000}"/>
    <cellStyle name="Вычисление 8 2 2" xfId="552" xr:uid="{00000000-0005-0000-0000-000027020000}"/>
    <cellStyle name="Вычисление 8 2 3" xfId="553" xr:uid="{00000000-0005-0000-0000-000028020000}"/>
    <cellStyle name="Вычисление 8 2 4" xfId="554" xr:uid="{00000000-0005-0000-0000-000029020000}"/>
    <cellStyle name="Вычисление 8 2 5" xfId="555" xr:uid="{00000000-0005-0000-0000-00002A020000}"/>
    <cellStyle name="Вычисление 8 2 6" xfId="556" xr:uid="{00000000-0005-0000-0000-00002B020000}"/>
    <cellStyle name="Вычисление 8 2 7" xfId="557" xr:uid="{00000000-0005-0000-0000-00002C020000}"/>
    <cellStyle name="Вычисление 9 2" xfId="558" xr:uid="{00000000-0005-0000-0000-00002D020000}"/>
    <cellStyle name="Вычисление 9 2 2" xfId="559" xr:uid="{00000000-0005-0000-0000-00002E020000}"/>
    <cellStyle name="Вычисление 9 2 3" xfId="560" xr:uid="{00000000-0005-0000-0000-00002F020000}"/>
    <cellStyle name="Вычисление 9 2 4" xfId="561" xr:uid="{00000000-0005-0000-0000-000030020000}"/>
    <cellStyle name="Вычисление 9 2 5" xfId="562" xr:uid="{00000000-0005-0000-0000-000031020000}"/>
    <cellStyle name="Вычисление 9 2 6" xfId="563" xr:uid="{00000000-0005-0000-0000-000032020000}"/>
    <cellStyle name="Вычисление 9 2 7" xfId="564" xr:uid="{00000000-0005-0000-0000-000033020000}"/>
    <cellStyle name="Денежный 2" xfId="565" xr:uid="{00000000-0005-0000-0000-000034020000}"/>
    <cellStyle name="Денежный 2 2" xfId="566" xr:uid="{00000000-0005-0000-0000-000035020000}"/>
    <cellStyle name="Денежный 2 3" xfId="567" xr:uid="{00000000-0005-0000-0000-000036020000}"/>
    <cellStyle name="Денежный 2 4" xfId="568" xr:uid="{00000000-0005-0000-0000-000037020000}"/>
    <cellStyle name="Денежный 2 5" xfId="569" xr:uid="{00000000-0005-0000-0000-000038020000}"/>
    <cellStyle name="Денежный 2 6" xfId="570" xr:uid="{00000000-0005-0000-0000-000039020000}"/>
    <cellStyle name="Денежный 3" xfId="571" xr:uid="{00000000-0005-0000-0000-00003A020000}"/>
    <cellStyle name="заголовок" xfId="572" xr:uid="{00000000-0005-0000-0000-00003B020000}"/>
    <cellStyle name="Заголовок 1 10 2" xfId="573" xr:uid="{00000000-0005-0000-0000-00003C020000}"/>
    <cellStyle name="Заголовок 1 11" xfId="574" xr:uid="{00000000-0005-0000-0000-00003D020000}"/>
    <cellStyle name="Заголовок 1 2" xfId="575" xr:uid="{00000000-0005-0000-0000-00003E020000}"/>
    <cellStyle name="Заголовок 1 2 2" xfId="576" xr:uid="{00000000-0005-0000-0000-00003F020000}"/>
    <cellStyle name="Заголовок 1 3 2" xfId="577" xr:uid="{00000000-0005-0000-0000-000040020000}"/>
    <cellStyle name="Заголовок 1 4 2" xfId="578" xr:uid="{00000000-0005-0000-0000-000041020000}"/>
    <cellStyle name="Заголовок 1 5 2" xfId="579" xr:uid="{00000000-0005-0000-0000-000042020000}"/>
    <cellStyle name="Заголовок 1 6 2" xfId="580" xr:uid="{00000000-0005-0000-0000-000043020000}"/>
    <cellStyle name="Заголовок 1 7 2" xfId="581" xr:uid="{00000000-0005-0000-0000-000044020000}"/>
    <cellStyle name="Заголовок 1 8 2" xfId="582" xr:uid="{00000000-0005-0000-0000-000045020000}"/>
    <cellStyle name="Заголовок 1 9 2" xfId="583" xr:uid="{00000000-0005-0000-0000-000046020000}"/>
    <cellStyle name="Заголовок 2 10 2" xfId="584" xr:uid="{00000000-0005-0000-0000-000047020000}"/>
    <cellStyle name="Заголовок 2 11" xfId="585" xr:uid="{00000000-0005-0000-0000-000048020000}"/>
    <cellStyle name="Заголовок 2 2" xfId="586" xr:uid="{00000000-0005-0000-0000-000049020000}"/>
    <cellStyle name="Заголовок 2 2 2" xfId="587" xr:uid="{00000000-0005-0000-0000-00004A020000}"/>
    <cellStyle name="Заголовок 2 3 2" xfId="588" xr:uid="{00000000-0005-0000-0000-00004B020000}"/>
    <cellStyle name="Заголовок 2 4 2" xfId="589" xr:uid="{00000000-0005-0000-0000-00004C020000}"/>
    <cellStyle name="Заголовок 2 5 2" xfId="590" xr:uid="{00000000-0005-0000-0000-00004D020000}"/>
    <cellStyle name="Заголовок 2 6 2" xfId="591" xr:uid="{00000000-0005-0000-0000-00004E020000}"/>
    <cellStyle name="Заголовок 2 7 2" xfId="592" xr:uid="{00000000-0005-0000-0000-00004F020000}"/>
    <cellStyle name="Заголовок 2 8 2" xfId="593" xr:uid="{00000000-0005-0000-0000-000050020000}"/>
    <cellStyle name="Заголовок 2 9 2" xfId="594" xr:uid="{00000000-0005-0000-0000-000051020000}"/>
    <cellStyle name="Заголовок 3 10 2" xfId="595" xr:uid="{00000000-0005-0000-0000-000052020000}"/>
    <cellStyle name="Заголовок 3 11" xfId="596" xr:uid="{00000000-0005-0000-0000-000053020000}"/>
    <cellStyle name="Заголовок 3 2" xfId="597" xr:uid="{00000000-0005-0000-0000-000054020000}"/>
    <cellStyle name="Заголовок 3 2 2" xfId="598" xr:uid="{00000000-0005-0000-0000-000055020000}"/>
    <cellStyle name="Заголовок 3 3 2" xfId="599" xr:uid="{00000000-0005-0000-0000-000056020000}"/>
    <cellStyle name="Заголовок 3 4 2" xfId="600" xr:uid="{00000000-0005-0000-0000-000057020000}"/>
    <cellStyle name="Заголовок 3 5 2" xfId="601" xr:uid="{00000000-0005-0000-0000-000058020000}"/>
    <cellStyle name="Заголовок 3 6 2" xfId="602" xr:uid="{00000000-0005-0000-0000-000059020000}"/>
    <cellStyle name="Заголовок 3 7 2" xfId="603" xr:uid="{00000000-0005-0000-0000-00005A020000}"/>
    <cellStyle name="Заголовок 3 8 2" xfId="604" xr:uid="{00000000-0005-0000-0000-00005B020000}"/>
    <cellStyle name="Заголовок 3 9 2" xfId="605" xr:uid="{00000000-0005-0000-0000-00005C020000}"/>
    <cellStyle name="Заголовок 4 10 2" xfId="606" xr:uid="{00000000-0005-0000-0000-00005D020000}"/>
    <cellStyle name="Заголовок 4 11" xfId="607" xr:uid="{00000000-0005-0000-0000-00005E020000}"/>
    <cellStyle name="Заголовок 4 2" xfId="608" xr:uid="{00000000-0005-0000-0000-00005F020000}"/>
    <cellStyle name="Заголовок 4 2 2" xfId="609" xr:uid="{00000000-0005-0000-0000-000060020000}"/>
    <cellStyle name="Заголовок 4 3 2" xfId="610" xr:uid="{00000000-0005-0000-0000-000061020000}"/>
    <cellStyle name="Заголовок 4 4 2" xfId="611" xr:uid="{00000000-0005-0000-0000-000062020000}"/>
    <cellStyle name="Заголовок 4 5 2" xfId="612" xr:uid="{00000000-0005-0000-0000-000063020000}"/>
    <cellStyle name="Заголовок 4 6 2" xfId="613" xr:uid="{00000000-0005-0000-0000-000064020000}"/>
    <cellStyle name="Заголовок 4 7 2" xfId="614" xr:uid="{00000000-0005-0000-0000-000065020000}"/>
    <cellStyle name="Заголовок 4 8 2" xfId="615" xr:uid="{00000000-0005-0000-0000-000066020000}"/>
    <cellStyle name="Заголовок 4 9 2" xfId="616" xr:uid="{00000000-0005-0000-0000-000067020000}"/>
    <cellStyle name="Индексы" xfId="617" xr:uid="{00000000-0005-0000-0000-000068020000}"/>
    <cellStyle name="Итог 10 2" xfId="618" xr:uid="{00000000-0005-0000-0000-000069020000}"/>
    <cellStyle name="Итог 10 2 2" xfId="619" xr:uid="{00000000-0005-0000-0000-00006A020000}"/>
    <cellStyle name="Итог 10 2 3" xfId="620" xr:uid="{00000000-0005-0000-0000-00006B020000}"/>
    <cellStyle name="Итог 10 2 4" xfId="621" xr:uid="{00000000-0005-0000-0000-00006C020000}"/>
    <cellStyle name="Итог 10 2 5" xfId="622" xr:uid="{00000000-0005-0000-0000-00006D020000}"/>
    <cellStyle name="Итог 10 2 6" xfId="623" xr:uid="{00000000-0005-0000-0000-00006E020000}"/>
    <cellStyle name="Итог 10 2 7" xfId="624" xr:uid="{00000000-0005-0000-0000-00006F020000}"/>
    <cellStyle name="Итог 11" xfId="625" xr:uid="{00000000-0005-0000-0000-000070020000}"/>
    <cellStyle name="Итог 11 2" xfId="626" xr:uid="{00000000-0005-0000-0000-000071020000}"/>
    <cellStyle name="Итог 11 3" xfId="627" xr:uid="{00000000-0005-0000-0000-000072020000}"/>
    <cellStyle name="Итог 11 4" xfId="628" xr:uid="{00000000-0005-0000-0000-000073020000}"/>
    <cellStyle name="Итог 11 5" xfId="629" xr:uid="{00000000-0005-0000-0000-000074020000}"/>
    <cellStyle name="Итог 11 6" xfId="630" xr:uid="{00000000-0005-0000-0000-000075020000}"/>
    <cellStyle name="Итог 11 7" xfId="631" xr:uid="{00000000-0005-0000-0000-000076020000}"/>
    <cellStyle name="Итог 2" xfId="632" xr:uid="{00000000-0005-0000-0000-000077020000}"/>
    <cellStyle name="Итог 2 2" xfId="633" xr:uid="{00000000-0005-0000-0000-000078020000}"/>
    <cellStyle name="Итог 2 2 2" xfId="634" xr:uid="{00000000-0005-0000-0000-000079020000}"/>
    <cellStyle name="Итог 2 2 3" xfId="635" xr:uid="{00000000-0005-0000-0000-00007A020000}"/>
    <cellStyle name="Итог 2 2 4" xfId="636" xr:uid="{00000000-0005-0000-0000-00007B020000}"/>
    <cellStyle name="Итог 2 2 5" xfId="637" xr:uid="{00000000-0005-0000-0000-00007C020000}"/>
    <cellStyle name="Итог 2 2 6" xfId="638" xr:uid="{00000000-0005-0000-0000-00007D020000}"/>
    <cellStyle name="Итог 2 2 7" xfId="639" xr:uid="{00000000-0005-0000-0000-00007E020000}"/>
    <cellStyle name="Итог 2 3" xfId="640" xr:uid="{00000000-0005-0000-0000-00007F020000}"/>
    <cellStyle name="Итог 2 4" xfId="641" xr:uid="{00000000-0005-0000-0000-000080020000}"/>
    <cellStyle name="Итог 2 5" xfId="642" xr:uid="{00000000-0005-0000-0000-000081020000}"/>
    <cellStyle name="Итог 2 6" xfId="643" xr:uid="{00000000-0005-0000-0000-000082020000}"/>
    <cellStyle name="Итог 2 7" xfId="644" xr:uid="{00000000-0005-0000-0000-000083020000}"/>
    <cellStyle name="Итог 2 8" xfId="645" xr:uid="{00000000-0005-0000-0000-000084020000}"/>
    <cellStyle name="Итог 3 2" xfId="646" xr:uid="{00000000-0005-0000-0000-000085020000}"/>
    <cellStyle name="Итог 3 2 2" xfId="647" xr:uid="{00000000-0005-0000-0000-000086020000}"/>
    <cellStyle name="Итог 3 2 3" xfId="648" xr:uid="{00000000-0005-0000-0000-000087020000}"/>
    <cellStyle name="Итог 3 2 4" xfId="649" xr:uid="{00000000-0005-0000-0000-000088020000}"/>
    <cellStyle name="Итог 3 2 5" xfId="650" xr:uid="{00000000-0005-0000-0000-000089020000}"/>
    <cellStyle name="Итог 3 2 6" xfId="651" xr:uid="{00000000-0005-0000-0000-00008A020000}"/>
    <cellStyle name="Итог 3 2 7" xfId="652" xr:uid="{00000000-0005-0000-0000-00008B020000}"/>
    <cellStyle name="Итог 4 2" xfId="653" xr:uid="{00000000-0005-0000-0000-00008C020000}"/>
    <cellStyle name="Итог 4 2 2" xfId="654" xr:uid="{00000000-0005-0000-0000-00008D020000}"/>
    <cellStyle name="Итог 4 2 3" xfId="655" xr:uid="{00000000-0005-0000-0000-00008E020000}"/>
    <cellStyle name="Итог 4 2 4" xfId="656" xr:uid="{00000000-0005-0000-0000-00008F020000}"/>
    <cellStyle name="Итог 4 2 5" xfId="657" xr:uid="{00000000-0005-0000-0000-000090020000}"/>
    <cellStyle name="Итог 4 2 6" xfId="658" xr:uid="{00000000-0005-0000-0000-000091020000}"/>
    <cellStyle name="Итог 4 2 7" xfId="659" xr:uid="{00000000-0005-0000-0000-000092020000}"/>
    <cellStyle name="Итог 5 2" xfId="660" xr:uid="{00000000-0005-0000-0000-000093020000}"/>
    <cellStyle name="Итог 5 2 2" xfId="661" xr:uid="{00000000-0005-0000-0000-000094020000}"/>
    <cellStyle name="Итог 5 2 3" xfId="662" xr:uid="{00000000-0005-0000-0000-000095020000}"/>
    <cellStyle name="Итог 5 2 4" xfId="663" xr:uid="{00000000-0005-0000-0000-000096020000}"/>
    <cellStyle name="Итог 5 2 5" xfId="664" xr:uid="{00000000-0005-0000-0000-000097020000}"/>
    <cellStyle name="Итог 5 2 6" xfId="665" xr:uid="{00000000-0005-0000-0000-000098020000}"/>
    <cellStyle name="Итог 5 2 7" xfId="666" xr:uid="{00000000-0005-0000-0000-000099020000}"/>
    <cellStyle name="Итог 6 2" xfId="667" xr:uid="{00000000-0005-0000-0000-00009A020000}"/>
    <cellStyle name="Итог 6 2 2" xfId="668" xr:uid="{00000000-0005-0000-0000-00009B020000}"/>
    <cellStyle name="Итог 6 2 3" xfId="669" xr:uid="{00000000-0005-0000-0000-00009C020000}"/>
    <cellStyle name="Итог 6 2 4" xfId="670" xr:uid="{00000000-0005-0000-0000-00009D020000}"/>
    <cellStyle name="Итог 6 2 5" xfId="671" xr:uid="{00000000-0005-0000-0000-00009E020000}"/>
    <cellStyle name="Итог 6 2 6" xfId="672" xr:uid="{00000000-0005-0000-0000-00009F020000}"/>
    <cellStyle name="Итог 6 2 7" xfId="673" xr:uid="{00000000-0005-0000-0000-0000A0020000}"/>
    <cellStyle name="Итог 7 2" xfId="674" xr:uid="{00000000-0005-0000-0000-0000A1020000}"/>
    <cellStyle name="Итог 7 2 2" xfId="675" xr:uid="{00000000-0005-0000-0000-0000A2020000}"/>
    <cellStyle name="Итог 7 2 3" xfId="676" xr:uid="{00000000-0005-0000-0000-0000A3020000}"/>
    <cellStyle name="Итог 7 2 4" xfId="677" xr:uid="{00000000-0005-0000-0000-0000A4020000}"/>
    <cellStyle name="Итог 7 2 5" xfId="678" xr:uid="{00000000-0005-0000-0000-0000A5020000}"/>
    <cellStyle name="Итог 7 2 6" xfId="679" xr:uid="{00000000-0005-0000-0000-0000A6020000}"/>
    <cellStyle name="Итог 7 2 7" xfId="680" xr:uid="{00000000-0005-0000-0000-0000A7020000}"/>
    <cellStyle name="Итог 8 2" xfId="681" xr:uid="{00000000-0005-0000-0000-0000A8020000}"/>
    <cellStyle name="Итог 8 2 2" xfId="682" xr:uid="{00000000-0005-0000-0000-0000A9020000}"/>
    <cellStyle name="Итог 8 2 3" xfId="683" xr:uid="{00000000-0005-0000-0000-0000AA020000}"/>
    <cellStyle name="Итог 8 2 4" xfId="684" xr:uid="{00000000-0005-0000-0000-0000AB020000}"/>
    <cellStyle name="Итог 8 2 5" xfId="685" xr:uid="{00000000-0005-0000-0000-0000AC020000}"/>
    <cellStyle name="Итог 8 2 6" xfId="686" xr:uid="{00000000-0005-0000-0000-0000AD020000}"/>
    <cellStyle name="Итог 8 2 7" xfId="687" xr:uid="{00000000-0005-0000-0000-0000AE020000}"/>
    <cellStyle name="Итог 9 2" xfId="688" xr:uid="{00000000-0005-0000-0000-0000AF020000}"/>
    <cellStyle name="Итог 9 2 2" xfId="689" xr:uid="{00000000-0005-0000-0000-0000B0020000}"/>
    <cellStyle name="Итог 9 2 3" xfId="690" xr:uid="{00000000-0005-0000-0000-0000B1020000}"/>
    <cellStyle name="Итог 9 2 4" xfId="691" xr:uid="{00000000-0005-0000-0000-0000B2020000}"/>
    <cellStyle name="Итог 9 2 5" xfId="692" xr:uid="{00000000-0005-0000-0000-0000B3020000}"/>
    <cellStyle name="Итог 9 2 6" xfId="693" xr:uid="{00000000-0005-0000-0000-0000B4020000}"/>
    <cellStyle name="Итог 9 2 7" xfId="694" xr:uid="{00000000-0005-0000-0000-0000B5020000}"/>
    <cellStyle name="Итоги" xfId="695" xr:uid="{00000000-0005-0000-0000-0000B6020000}"/>
    <cellStyle name="ИтогоАктБазЦ" xfId="696" xr:uid="{00000000-0005-0000-0000-0000B7020000}"/>
    <cellStyle name="ИтогоАктБИМ" xfId="697" xr:uid="{00000000-0005-0000-0000-0000B8020000}"/>
    <cellStyle name="ИтогоАктРесМет" xfId="698" xr:uid="{00000000-0005-0000-0000-0000B9020000}"/>
    <cellStyle name="ИтогоБазЦ" xfId="699" xr:uid="{00000000-0005-0000-0000-0000BA020000}"/>
    <cellStyle name="ИтогоБИМ" xfId="700" xr:uid="{00000000-0005-0000-0000-0000BB020000}"/>
    <cellStyle name="ИтогоРесМет" xfId="701" xr:uid="{00000000-0005-0000-0000-0000BC020000}"/>
    <cellStyle name="Контрольная ячейка 10 2" xfId="702" xr:uid="{00000000-0005-0000-0000-0000BD020000}"/>
    <cellStyle name="Контрольная ячейка 11" xfId="703" xr:uid="{00000000-0005-0000-0000-0000BE020000}"/>
    <cellStyle name="Контрольная ячейка 2" xfId="704" xr:uid="{00000000-0005-0000-0000-0000BF020000}"/>
    <cellStyle name="Контрольная ячейка 2 2" xfId="705" xr:uid="{00000000-0005-0000-0000-0000C0020000}"/>
    <cellStyle name="Контрольная ячейка 3 2" xfId="706" xr:uid="{00000000-0005-0000-0000-0000C1020000}"/>
    <cellStyle name="Контрольная ячейка 4 2" xfId="707" xr:uid="{00000000-0005-0000-0000-0000C2020000}"/>
    <cellStyle name="Контрольная ячейка 5 2" xfId="708" xr:uid="{00000000-0005-0000-0000-0000C3020000}"/>
    <cellStyle name="Контрольная ячейка 6 2" xfId="709" xr:uid="{00000000-0005-0000-0000-0000C4020000}"/>
    <cellStyle name="Контрольная ячейка 7 2" xfId="710" xr:uid="{00000000-0005-0000-0000-0000C5020000}"/>
    <cellStyle name="Контрольная ячейка 8 2" xfId="711" xr:uid="{00000000-0005-0000-0000-0000C6020000}"/>
    <cellStyle name="Контрольная ячейка 9 2" xfId="712" xr:uid="{00000000-0005-0000-0000-0000C7020000}"/>
    <cellStyle name="ЛокСмета" xfId="713" xr:uid="{00000000-0005-0000-0000-0000C8020000}"/>
    <cellStyle name="ЛокСмета 2" xfId="714" xr:uid="{00000000-0005-0000-0000-0000C9020000}"/>
    <cellStyle name="ЛокСмМТСН" xfId="715" xr:uid="{00000000-0005-0000-0000-0000CA020000}"/>
    <cellStyle name="М29" xfId="716" xr:uid="{00000000-0005-0000-0000-0000CB020000}"/>
    <cellStyle name="Название 10 2" xfId="717" xr:uid="{00000000-0005-0000-0000-0000CC020000}"/>
    <cellStyle name="Название 11" xfId="718" xr:uid="{00000000-0005-0000-0000-0000CD020000}"/>
    <cellStyle name="Название 2" xfId="719" xr:uid="{00000000-0005-0000-0000-0000CE020000}"/>
    <cellStyle name="Название 2 2" xfId="720" xr:uid="{00000000-0005-0000-0000-0000CF020000}"/>
    <cellStyle name="Название 3 2" xfId="721" xr:uid="{00000000-0005-0000-0000-0000D0020000}"/>
    <cellStyle name="Название 4 2" xfId="722" xr:uid="{00000000-0005-0000-0000-0000D1020000}"/>
    <cellStyle name="Название 5 2" xfId="723" xr:uid="{00000000-0005-0000-0000-0000D2020000}"/>
    <cellStyle name="Название 6 2" xfId="724" xr:uid="{00000000-0005-0000-0000-0000D3020000}"/>
    <cellStyle name="Название 7 2" xfId="725" xr:uid="{00000000-0005-0000-0000-0000D4020000}"/>
    <cellStyle name="Название 8 2" xfId="726" xr:uid="{00000000-0005-0000-0000-0000D5020000}"/>
    <cellStyle name="Название 9 2" xfId="727" xr:uid="{00000000-0005-0000-0000-0000D6020000}"/>
    <cellStyle name="Нейтральный 10 2" xfId="728" xr:uid="{00000000-0005-0000-0000-0000D7020000}"/>
    <cellStyle name="Нейтральный 11" xfId="729" xr:uid="{00000000-0005-0000-0000-0000D8020000}"/>
    <cellStyle name="Нейтральный 2" xfId="730" xr:uid="{00000000-0005-0000-0000-0000D9020000}"/>
    <cellStyle name="Нейтральный 2 2" xfId="731" xr:uid="{00000000-0005-0000-0000-0000DA020000}"/>
    <cellStyle name="Нейтральный 3 2" xfId="732" xr:uid="{00000000-0005-0000-0000-0000DB020000}"/>
    <cellStyle name="Нейтральный 4 2" xfId="733" xr:uid="{00000000-0005-0000-0000-0000DC020000}"/>
    <cellStyle name="Нейтральный 5 2" xfId="734" xr:uid="{00000000-0005-0000-0000-0000DD020000}"/>
    <cellStyle name="Нейтральный 6 2" xfId="735" xr:uid="{00000000-0005-0000-0000-0000DE020000}"/>
    <cellStyle name="Нейтральный 7 2" xfId="736" xr:uid="{00000000-0005-0000-0000-0000DF020000}"/>
    <cellStyle name="Нейтральный 8 2" xfId="737" xr:uid="{00000000-0005-0000-0000-0000E0020000}"/>
    <cellStyle name="Нейтральный 9 2" xfId="738" xr:uid="{00000000-0005-0000-0000-0000E1020000}"/>
    <cellStyle name="ОбСмета" xfId="739" xr:uid="{00000000-0005-0000-0000-0000E2020000}"/>
    <cellStyle name="Обычный" xfId="0" builtinId="0"/>
    <cellStyle name="Обычный 10" xfId="740" xr:uid="{00000000-0005-0000-0000-0000E4020000}"/>
    <cellStyle name="Обычный 10 2" xfId="741" xr:uid="{00000000-0005-0000-0000-0000E5020000}"/>
    <cellStyle name="Обычный 10 2 2" xfId="742" xr:uid="{00000000-0005-0000-0000-0000E6020000}"/>
    <cellStyle name="Обычный 10 2 3" xfId="743" xr:uid="{00000000-0005-0000-0000-0000E7020000}"/>
    <cellStyle name="Обычный 10 3" xfId="744" xr:uid="{00000000-0005-0000-0000-0000E8020000}"/>
    <cellStyle name="Обычный 10 3 7" xfId="745" xr:uid="{00000000-0005-0000-0000-0000E9020000}"/>
    <cellStyle name="Обычный 10 3 7 2" xfId="746" xr:uid="{00000000-0005-0000-0000-0000EA020000}"/>
    <cellStyle name="Обычный 10 3 7 2 2" xfId="747" xr:uid="{00000000-0005-0000-0000-0000EB020000}"/>
    <cellStyle name="Обычный 10 3 7 2 2 2" xfId="748" xr:uid="{00000000-0005-0000-0000-0000EC020000}"/>
    <cellStyle name="Обычный 10 4" xfId="749" xr:uid="{00000000-0005-0000-0000-0000ED020000}"/>
    <cellStyle name="Обычный 10 5" xfId="750" xr:uid="{00000000-0005-0000-0000-0000EE020000}"/>
    <cellStyle name="Обычный 10 6" xfId="751" xr:uid="{00000000-0005-0000-0000-0000EF020000}"/>
    <cellStyle name="Обычный 100" xfId="752" xr:uid="{00000000-0005-0000-0000-0000F0020000}"/>
    <cellStyle name="Обычный 100 2" xfId="753" xr:uid="{00000000-0005-0000-0000-0000F1020000}"/>
    <cellStyle name="Обычный 101" xfId="754" xr:uid="{00000000-0005-0000-0000-0000F2020000}"/>
    <cellStyle name="Обычный 102" xfId="755" xr:uid="{00000000-0005-0000-0000-0000F3020000}"/>
    <cellStyle name="Обычный 103" xfId="756" xr:uid="{00000000-0005-0000-0000-0000F4020000}"/>
    <cellStyle name="Обычный 103 2" xfId="757" xr:uid="{00000000-0005-0000-0000-0000F5020000}"/>
    <cellStyle name="Обычный 104" xfId="758" xr:uid="{00000000-0005-0000-0000-0000F6020000}"/>
    <cellStyle name="Обычный 105" xfId="759" xr:uid="{00000000-0005-0000-0000-0000F7020000}"/>
    <cellStyle name="Обычный 105 3" xfId="760" xr:uid="{00000000-0005-0000-0000-0000F8020000}"/>
    <cellStyle name="Обычный 106" xfId="761" xr:uid="{00000000-0005-0000-0000-0000F9020000}"/>
    <cellStyle name="Обычный 107" xfId="762" xr:uid="{00000000-0005-0000-0000-0000FA020000}"/>
    <cellStyle name="Обычный 108" xfId="763" xr:uid="{00000000-0005-0000-0000-0000FB020000}"/>
    <cellStyle name="Обычный 11" xfId="764" xr:uid="{00000000-0005-0000-0000-0000FC020000}"/>
    <cellStyle name="Обычный 11 10" xfId="765" xr:uid="{00000000-0005-0000-0000-0000FD020000}"/>
    <cellStyle name="Обычный 11 11" xfId="766" xr:uid="{00000000-0005-0000-0000-0000FE020000}"/>
    <cellStyle name="Обычный 11 12" xfId="767" xr:uid="{00000000-0005-0000-0000-0000FF020000}"/>
    <cellStyle name="Обычный 11 13" xfId="768" xr:uid="{00000000-0005-0000-0000-000000030000}"/>
    <cellStyle name="Обычный 11 14" xfId="769" xr:uid="{00000000-0005-0000-0000-000001030000}"/>
    <cellStyle name="Обычный 11 2" xfId="770" xr:uid="{00000000-0005-0000-0000-000002030000}"/>
    <cellStyle name="Обычный 11 2 2" xfId="771" xr:uid="{00000000-0005-0000-0000-000003030000}"/>
    <cellStyle name="Обычный 11 2 2 2" xfId="772" xr:uid="{00000000-0005-0000-0000-000004030000}"/>
    <cellStyle name="Обычный 11 2 3" xfId="773" xr:uid="{00000000-0005-0000-0000-000005030000}"/>
    <cellStyle name="Обычный 11 2_Выполнение МАЙ КС-02-образец" xfId="774" xr:uid="{00000000-0005-0000-0000-000006030000}"/>
    <cellStyle name="Обычный 11 3" xfId="775" xr:uid="{00000000-0005-0000-0000-000007030000}"/>
    <cellStyle name="Обычный 11 3 2" xfId="776" xr:uid="{00000000-0005-0000-0000-000008030000}"/>
    <cellStyle name="Обычный 11 4" xfId="777" xr:uid="{00000000-0005-0000-0000-000009030000}"/>
    <cellStyle name="Обычный 11 4 2" xfId="778" xr:uid="{00000000-0005-0000-0000-00000A030000}"/>
    <cellStyle name="Обычный 11 5" xfId="779" xr:uid="{00000000-0005-0000-0000-00000B030000}"/>
    <cellStyle name="Обычный 11 5 2" xfId="780" xr:uid="{00000000-0005-0000-0000-00000C030000}"/>
    <cellStyle name="Обычный 11 6" xfId="781" xr:uid="{00000000-0005-0000-0000-00000D030000}"/>
    <cellStyle name="Обычный 11 7" xfId="782" xr:uid="{00000000-0005-0000-0000-00000E030000}"/>
    <cellStyle name="Обычный 11 8" xfId="783" xr:uid="{00000000-0005-0000-0000-00000F030000}"/>
    <cellStyle name="Обычный 11 9" xfId="784" xr:uid="{00000000-0005-0000-0000-000010030000}"/>
    <cellStyle name="Обычный 12" xfId="785" xr:uid="{00000000-0005-0000-0000-000011030000}"/>
    <cellStyle name="Обычный 12 2" xfId="786" xr:uid="{00000000-0005-0000-0000-000012030000}"/>
    <cellStyle name="Обычный 12 2 2" xfId="787" xr:uid="{00000000-0005-0000-0000-000013030000}"/>
    <cellStyle name="Обычный 12 3" xfId="788" xr:uid="{00000000-0005-0000-0000-000014030000}"/>
    <cellStyle name="Обычный 12 3 2" xfId="789" xr:uid="{00000000-0005-0000-0000-000015030000}"/>
    <cellStyle name="Обычный 12 4" xfId="790" xr:uid="{00000000-0005-0000-0000-000016030000}"/>
    <cellStyle name="Обычный 13" xfId="791" xr:uid="{00000000-0005-0000-0000-000017030000}"/>
    <cellStyle name="Обычный 13 2" xfId="792" xr:uid="{00000000-0005-0000-0000-000018030000}"/>
    <cellStyle name="Обычный 13 2 2" xfId="793" xr:uid="{00000000-0005-0000-0000-000019030000}"/>
    <cellStyle name="Обычный 13 2 3" xfId="794" xr:uid="{00000000-0005-0000-0000-00001A030000}"/>
    <cellStyle name="Обычный 13 3" xfId="795" xr:uid="{00000000-0005-0000-0000-00001B030000}"/>
    <cellStyle name="Обычный 13 3 2" xfId="796" xr:uid="{00000000-0005-0000-0000-00001C030000}"/>
    <cellStyle name="Обычный 13 4" xfId="797" xr:uid="{00000000-0005-0000-0000-00001D030000}"/>
    <cellStyle name="Обычный 14" xfId="798" xr:uid="{00000000-0005-0000-0000-00001E030000}"/>
    <cellStyle name="Обычный 14 2" xfId="799" xr:uid="{00000000-0005-0000-0000-00001F030000}"/>
    <cellStyle name="Обычный 14 2 2" xfId="800" xr:uid="{00000000-0005-0000-0000-000020030000}"/>
    <cellStyle name="Обычный 14 3" xfId="801" xr:uid="{00000000-0005-0000-0000-000021030000}"/>
    <cellStyle name="Обычный 14 3 2" xfId="802" xr:uid="{00000000-0005-0000-0000-000022030000}"/>
    <cellStyle name="Обычный 14 3 2 2" xfId="803" xr:uid="{00000000-0005-0000-0000-000023030000}"/>
    <cellStyle name="Обычный 14 3 2 2 2" xfId="804" xr:uid="{00000000-0005-0000-0000-000024030000}"/>
    <cellStyle name="Обычный 15" xfId="805" xr:uid="{00000000-0005-0000-0000-000025030000}"/>
    <cellStyle name="Обычный 15 2" xfId="806" xr:uid="{00000000-0005-0000-0000-000026030000}"/>
    <cellStyle name="Обычный 16" xfId="807" xr:uid="{00000000-0005-0000-0000-000027030000}"/>
    <cellStyle name="Обычный 16 2" xfId="808" xr:uid="{00000000-0005-0000-0000-000028030000}"/>
    <cellStyle name="Обычный 16 3" xfId="809" xr:uid="{00000000-0005-0000-0000-000029030000}"/>
    <cellStyle name="Обычный 17" xfId="810" xr:uid="{00000000-0005-0000-0000-00002A030000}"/>
    <cellStyle name="Обычный 17 2" xfId="811" xr:uid="{00000000-0005-0000-0000-00002B030000}"/>
    <cellStyle name="Обычный 18" xfId="812" xr:uid="{00000000-0005-0000-0000-00002C030000}"/>
    <cellStyle name="Обычный 18 2" xfId="813" xr:uid="{00000000-0005-0000-0000-00002D030000}"/>
    <cellStyle name="Обычный 18 3" xfId="814" xr:uid="{00000000-0005-0000-0000-00002E030000}"/>
    <cellStyle name="Обычный 19" xfId="815" xr:uid="{00000000-0005-0000-0000-00002F030000}"/>
    <cellStyle name="Обычный 19 2" xfId="816" xr:uid="{00000000-0005-0000-0000-000030030000}"/>
    <cellStyle name="Обычный 2" xfId="817" xr:uid="{00000000-0005-0000-0000-000031030000}"/>
    <cellStyle name="Обычный 2 10" xfId="818" xr:uid="{00000000-0005-0000-0000-000032030000}"/>
    <cellStyle name="Обычный 2 10 2" xfId="819" xr:uid="{00000000-0005-0000-0000-000033030000}"/>
    <cellStyle name="Обычный 2 11" xfId="820" xr:uid="{00000000-0005-0000-0000-000034030000}"/>
    <cellStyle name="Обычный 2 11 2" xfId="821" xr:uid="{00000000-0005-0000-0000-000035030000}"/>
    <cellStyle name="Обычный 2 12" xfId="822" xr:uid="{00000000-0005-0000-0000-000036030000}"/>
    <cellStyle name="Обычный 2 13" xfId="823" xr:uid="{00000000-0005-0000-0000-000037030000}"/>
    <cellStyle name="Обычный 2 13 2" xfId="824" xr:uid="{00000000-0005-0000-0000-000038030000}"/>
    <cellStyle name="Обычный 2 14" xfId="825" xr:uid="{00000000-0005-0000-0000-000039030000}"/>
    <cellStyle name="Обычный 2 15" xfId="826" xr:uid="{00000000-0005-0000-0000-00003A030000}"/>
    <cellStyle name="Обычный 2 16" xfId="827" xr:uid="{00000000-0005-0000-0000-00003B030000}"/>
    <cellStyle name="Обычный 2 17" xfId="828" xr:uid="{00000000-0005-0000-0000-00003C030000}"/>
    <cellStyle name="Обычный 2 18" xfId="829" xr:uid="{00000000-0005-0000-0000-00003D030000}"/>
    <cellStyle name="Обычный 2 19" xfId="830" xr:uid="{00000000-0005-0000-0000-00003E030000}"/>
    <cellStyle name="Обычный 2 2" xfId="831" xr:uid="{00000000-0005-0000-0000-00003F030000}"/>
    <cellStyle name="Обычный 2 2 10" xfId="832" xr:uid="{00000000-0005-0000-0000-000040030000}"/>
    <cellStyle name="Обычный 2 2 11" xfId="833" xr:uid="{00000000-0005-0000-0000-000041030000}"/>
    <cellStyle name="Обычный 2 2 12" xfId="834" xr:uid="{00000000-0005-0000-0000-000042030000}"/>
    <cellStyle name="Обычный 2 2 13" xfId="835" xr:uid="{00000000-0005-0000-0000-000043030000}"/>
    <cellStyle name="Обычный 2 2 2" xfId="836" xr:uid="{00000000-0005-0000-0000-000044030000}"/>
    <cellStyle name="Обычный 2 2 2 2" xfId="837" xr:uid="{00000000-0005-0000-0000-000045030000}"/>
    <cellStyle name="Обычный 2 2 2 2 2" xfId="838" xr:uid="{00000000-0005-0000-0000-000046030000}"/>
    <cellStyle name="Обычный 2 2 2 2 3" xfId="839" xr:uid="{00000000-0005-0000-0000-000047030000}"/>
    <cellStyle name="Обычный 2 2 2 2 4" xfId="840" xr:uid="{00000000-0005-0000-0000-000048030000}"/>
    <cellStyle name="Обычный 2 2 2 2 5" xfId="841" xr:uid="{00000000-0005-0000-0000-000049030000}"/>
    <cellStyle name="Обычный 2 2 2 2 6" xfId="842" xr:uid="{00000000-0005-0000-0000-00004A030000}"/>
    <cellStyle name="Обычный 2 2 2 2 7" xfId="843" xr:uid="{00000000-0005-0000-0000-00004B030000}"/>
    <cellStyle name="Обычный 2 2 2 2 8" xfId="844" xr:uid="{00000000-0005-0000-0000-00004C030000}"/>
    <cellStyle name="Обычный 2 2 2 3" xfId="845" xr:uid="{00000000-0005-0000-0000-00004D030000}"/>
    <cellStyle name="Обычный 2 2 2 3 2" xfId="846" xr:uid="{00000000-0005-0000-0000-00004E030000}"/>
    <cellStyle name="Обычный 2 2 2 3 3" xfId="847" xr:uid="{00000000-0005-0000-0000-00004F030000}"/>
    <cellStyle name="Обычный 2 2 2 4" xfId="848" xr:uid="{00000000-0005-0000-0000-000050030000}"/>
    <cellStyle name="Обычный 2 2 2 5" xfId="849" xr:uid="{00000000-0005-0000-0000-000051030000}"/>
    <cellStyle name="Обычный 2 2 2 6" xfId="850" xr:uid="{00000000-0005-0000-0000-000052030000}"/>
    <cellStyle name="Обычный 2 2 2 7" xfId="851" xr:uid="{00000000-0005-0000-0000-000053030000}"/>
    <cellStyle name="Обычный 2 2 2 8" xfId="852" xr:uid="{00000000-0005-0000-0000-000054030000}"/>
    <cellStyle name="Обычный 2 2 3" xfId="853" xr:uid="{00000000-0005-0000-0000-000055030000}"/>
    <cellStyle name="Обычный 2 2 3 2" xfId="854" xr:uid="{00000000-0005-0000-0000-000056030000}"/>
    <cellStyle name="Обычный 2 2 4" xfId="855" xr:uid="{00000000-0005-0000-0000-000057030000}"/>
    <cellStyle name="Обычный 2 2 4 2" xfId="856" xr:uid="{00000000-0005-0000-0000-000058030000}"/>
    <cellStyle name="Обычный 2 2 4 2 2" xfId="857" xr:uid="{00000000-0005-0000-0000-000059030000}"/>
    <cellStyle name="Обычный 2 2 5" xfId="858" xr:uid="{00000000-0005-0000-0000-00005A030000}"/>
    <cellStyle name="Обычный 2 2 5 2" xfId="859" xr:uid="{00000000-0005-0000-0000-00005B030000}"/>
    <cellStyle name="Обычный 2 2 6" xfId="860" xr:uid="{00000000-0005-0000-0000-00005C030000}"/>
    <cellStyle name="Обычный 2 2 7" xfId="861" xr:uid="{00000000-0005-0000-0000-00005D030000}"/>
    <cellStyle name="Обычный 2 2 8" xfId="862" xr:uid="{00000000-0005-0000-0000-00005E030000}"/>
    <cellStyle name="Обычный 2 2 9" xfId="863" xr:uid="{00000000-0005-0000-0000-00005F030000}"/>
    <cellStyle name="Обычный 2 2_металл Сергею 15.10.09" xfId="864" xr:uid="{00000000-0005-0000-0000-000060030000}"/>
    <cellStyle name="Обычный 2 20" xfId="865" xr:uid="{00000000-0005-0000-0000-000061030000}"/>
    <cellStyle name="Обычный 2 21" xfId="866" xr:uid="{00000000-0005-0000-0000-000062030000}"/>
    <cellStyle name="Обычный 2 26" xfId="867" xr:uid="{00000000-0005-0000-0000-000063030000}"/>
    <cellStyle name="Обычный 2 26 2" xfId="868" xr:uid="{00000000-0005-0000-0000-000064030000}"/>
    <cellStyle name="Обычный 2 3" xfId="869" xr:uid="{00000000-0005-0000-0000-000065030000}"/>
    <cellStyle name="Обычный 2 3 2" xfId="870" xr:uid="{00000000-0005-0000-0000-000066030000}"/>
    <cellStyle name="Обычный 2 3 3" xfId="871" xr:uid="{00000000-0005-0000-0000-000067030000}"/>
    <cellStyle name="Обычный 2 3 4" xfId="872" xr:uid="{00000000-0005-0000-0000-000068030000}"/>
    <cellStyle name="Обычный 2 3 5" xfId="873" xr:uid="{00000000-0005-0000-0000-000069030000}"/>
    <cellStyle name="Обычный 2 4" xfId="874" xr:uid="{00000000-0005-0000-0000-00006A030000}"/>
    <cellStyle name="Обычный 2 4 2" xfId="875" xr:uid="{00000000-0005-0000-0000-00006B030000}"/>
    <cellStyle name="Обычный 2 4 3" xfId="876" xr:uid="{00000000-0005-0000-0000-00006C030000}"/>
    <cellStyle name="Обычный 2 4 4" xfId="877" xr:uid="{00000000-0005-0000-0000-00006D030000}"/>
    <cellStyle name="Обычный 2 5" xfId="878" xr:uid="{00000000-0005-0000-0000-00006E030000}"/>
    <cellStyle name="Обычный 2 5 2" xfId="879" xr:uid="{00000000-0005-0000-0000-00006F030000}"/>
    <cellStyle name="Обычный 2 5 2 2" xfId="880" xr:uid="{00000000-0005-0000-0000-000070030000}"/>
    <cellStyle name="Обычный 2 5 2 3" xfId="881" xr:uid="{00000000-0005-0000-0000-000071030000}"/>
    <cellStyle name="Обычный 2 5 2_Выполнение МАЙ КС-02-образец" xfId="882" xr:uid="{00000000-0005-0000-0000-000072030000}"/>
    <cellStyle name="Обычный 2 5 3" xfId="883" xr:uid="{00000000-0005-0000-0000-000073030000}"/>
    <cellStyle name="Обычный 2 5 4" xfId="884" xr:uid="{00000000-0005-0000-0000-000074030000}"/>
    <cellStyle name="Обычный 2 5_Выполнение МАЙ КС-02-образец" xfId="885" xr:uid="{00000000-0005-0000-0000-000075030000}"/>
    <cellStyle name="Обычный 2 6" xfId="886" xr:uid="{00000000-0005-0000-0000-000076030000}"/>
    <cellStyle name="Обычный 2 6 2" xfId="887" xr:uid="{00000000-0005-0000-0000-000077030000}"/>
    <cellStyle name="Обычный 2 7" xfId="888" xr:uid="{00000000-0005-0000-0000-000078030000}"/>
    <cellStyle name="Обычный 2 7 2" xfId="889" xr:uid="{00000000-0005-0000-0000-000079030000}"/>
    <cellStyle name="Обычный 2 7 3" xfId="890" xr:uid="{00000000-0005-0000-0000-00007A030000}"/>
    <cellStyle name="Обычный 2 8" xfId="891" xr:uid="{00000000-0005-0000-0000-00007B030000}"/>
    <cellStyle name="Обычный 2 8 2" xfId="892" xr:uid="{00000000-0005-0000-0000-00007C030000}"/>
    <cellStyle name="Обычный 2 9" xfId="893" xr:uid="{00000000-0005-0000-0000-00007D030000}"/>
    <cellStyle name="Обычный 2 9 2" xfId="894" xr:uid="{00000000-0005-0000-0000-00007E030000}"/>
    <cellStyle name="Обычный 20" xfId="895" xr:uid="{00000000-0005-0000-0000-00007F030000}"/>
    <cellStyle name="Обычный 20 2" xfId="896" xr:uid="{00000000-0005-0000-0000-000080030000}"/>
    <cellStyle name="Обычный 20 3" xfId="897" xr:uid="{00000000-0005-0000-0000-000081030000}"/>
    <cellStyle name="Обычный 20 4" xfId="898" xr:uid="{00000000-0005-0000-0000-000082030000}"/>
    <cellStyle name="Обычный 20 5" xfId="899" xr:uid="{00000000-0005-0000-0000-000083030000}"/>
    <cellStyle name="Обычный 21" xfId="900" xr:uid="{00000000-0005-0000-0000-000084030000}"/>
    <cellStyle name="Обычный 21 2" xfId="901" xr:uid="{00000000-0005-0000-0000-000085030000}"/>
    <cellStyle name="Обычный 21 3" xfId="902" xr:uid="{00000000-0005-0000-0000-000086030000}"/>
    <cellStyle name="Обычный 22" xfId="903" xr:uid="{00000000-0005-0000-0000-000087030000}"/>
    <cellStyle name="Обычный 22 2" xfId="904" xr:uid="{00000000-0005-0000-0000-000088030000}"/>
    <cellStyle name="Обычный 22 3" xfId="905" xr:uid="{00000000-0005-0000-0000-000089030000}"/>
    <cellStyle name="Обычный 23" xfId="906" xr:uid="{00000000-0005-0000-0000-00008A030000}"/>
    <cellStyle name="Обычный 23 2" xfId="907" xr:uid="{00000000-0005-0000-0000-00008B030000}"/>
    <cellStyle name="Обычный 23 3" xfId="908" xr:uid="{00000000-0005-0000-0000-00008C030000}"/>
    <cellStyle name="Обычный 24" xfId="909" xr:uid="{00000000-0005-0000-0000-00008D030000}"/>
    <cellStyle name="Обычный 24 2" xfId="910" xr:uid="{00000000-0005-0000-0000-00008E030000}"/>
    <cellStyle name="Обычный 24 2 2" xfId="911" xr:uid="{00000000-0005-0000-0000-00008F030000}"/>
    <cellStyle name="Обычный 24 3" xfId="912" xr:uid="{00000000-0005-0000-0000-000090030000}"/>
    <cellStyle name="Обычный 25" xfId="913" xr:uid="{00000000-0005-0000-0000-000091030000}"/>
    <cellStyle name="Обычный 25 2" xfId="914" xr:uid="{00000000-0005-0000-0000-000092030000}"/>
    <cellStyle name="Обычный 26" xfId="915" xr:uid="{00000000-0005-0000-0000-000093030000}"/>
    <cellStyle name="Обычный 26 2" xfId="916" xr:uid="{00000000-0005-0000-0000-000094030000}"/>
    <cellStyle name="Обычный 26 3" xfId="917" xr:uid="{00000000-0005-0000-0000-000095030000}"/>
    <cellStyle name="Обычный 27" xfId="918" xr:uid="{00000000-0005-0000-0000-000096030000}"/>
    <cellStyle name="Обычный 27 2" xfId="919" xr:uid="{00000000-0005-0000-0000-000097030000}"/>
    <cellStyle name="Обычный 27 3" xfId="920" xr:uid="{00000000-0005-0000-0000-000098030000}"/>
    <cellStyle name="Обычный 28" xfId="921" xr:uid="{00000000-0005-0000-0000-000099030000}"/>
    <cellStyle name="Обычный 28 2" xfId="922" xr:uid="{00000000-0005-0000-0000-00009A030000}"/>
    <cellStyle name="Обычный 28 3" xfId="923" xr:uid="{00000000-0005-0000-0000-00009B030000}"/>
    <cellStyle name="Обычный 29" xfId="924" xr:uid="{00000000-0005-0000-0000-00009C030000}"/>
    <cellStyle name="Обычный 29 2" xfId="925" xr:uid="{00000000-0005-0000-0000-00009D030000}"/>
    <cellStyle name="Обычный 29 3" xfId="926" xr:uid="{00000000-0005-0000-0000-00009E030000}"/>
    <cellStyle name="Обычный 3" xfId="927" xr:uid="{00000000-0005-0000-0000-00009F030000}"/>
    <cellStyle name="Обычный 3 10" xfId="928" xr:uid="{00000000-0005-0000-0000-0000A0030000}"/>
    <cellStyle name="Обычный 3 2" xfId="929" xr:uid="{00000000-0005-0000-0000-0000A1030000}"/>
    <cellStyle name="Обычный 3 2 2" xfId="930" xr:uid="{00000000-0005-0000-0000-0000A2030000}"/>
    <cellStyle name="Обычный 3 2 2 2" xfId="931" xr:uid="{00000000-0005-0000-0000-0000A3030000}"/>
    <cellStyle name="Обычный 3 2 3" xfId="932" xr:uid="{00000000-0005-0000-0000-0000A4030000}"/>
    <cellStyle name="Обычный 3 3" xfId="933" xr:uid="{00000000-0005-0000-0000-0000A5030000}"/>
    <cellStyle name="Обычный 3 3 2" xfId="934" xr:uid="{00000000-0005-0000-0000-0000A6030000}"/>
    <cellStyle name="Обычный 3 4" xfId="935" xr:uid="{00000000-0005-0000-0000-0000A7030000}"/>
    <cellStyle name="Обычный 3 4 2" xfId="936" xr:uid="{00000000-0005-0000-0000-0000A8030000}"/>
    <cellStyle name="Обычный 3 5" xfId="937" xr:uid="{00000000-0005-0000-0000-0000A9030000}"/>
    <cellStyle name="Обычный 3 5 2" xfId="938" xr:uid="{00000000-0005-0000-0000-0000AA030000}"/>
    <cellStyle name="Обычный 3 6" xfId="939" xr:uid="{00000000-0005-0000-0000-0000AB030000}"/>
    <cellStyle name="Обычный 3 7" xfId="940" xr:uid="{00000000-0005-0000-0000-0000AC030000}"/>
    <cellStyle name="Обычный 3 8" xfId="941" xr:uid="{00000000-0005-0000-0000-0000AD030000}"/>
    <cellStyle name="Обычный 3 9" xfId="942" xr:uid="{00000000-0005-0000-0000-0000AE030000}"/>
    <cellStyle name="Обычный 30" xfId="943" xr:uid="{00000000-0005-0000-0000-0000AF030000}"/>
    <cellStyle name="Обычный 30 2" xfId="944" xr:uid="{00000000-0005-0000-0000-0000B0030000}"/>
    <cellStyle name="Обычный 30 3" xfId="945" xr:uid="{00000000-0005-0000-0000-0000B1030000}"/>
    <cellStyle name="Обычный 31" xfId="946" xr:uid="{00000000-0005-0000-0000-0000B2030000}"/>
    <cellStyle name="Обычный 31 2" xfId="947" xr:uid="{00000000-0005-0000-0000-0000B3030000}"/>
    <cellStyle name="Обычный 31 3" xfId="948" xr:uid="{00000000-0005-0000-0000-0000B4030000}"/>
    <cellStyle name="Обычный 32" xfId="949" xr:uid="{00000000-0005-0000-0000-0000B5030000}"/>
    <cellStyle name="Обычный 32 2" xfId="950" xr:uid="{00000000-0005-0000-0000-0000B6030000}"/>
    <cellStyle name="Обычный 32 3" xfId="951" xr:uid="{00000000-0005-0000-0000-0000B7030000}"/>
    <cellStyle name="Обычный 33" xfId="952" xr:uid="{00000000-0005-0000-0000-0000B8030000}"/>
    <cellStyle name="Обычный 33 2" xfId="953" xr:uid="{00000000-0005-0000-0000-0000B9030000}"/>
    <cellStyle name="Обычный 33 3" xfId="954" xr:uid="{00000000-0005-0000-0000-0000BA030000}"/>
    <cellStyle name="Обычный 34" xfId="955" xr:uid="{00000000-0005-0000-0000-0000BB030000}"/>
    <cellStyle name="Обычный 34 2" xfId="956" xr:uid="{00000000-0005-0000-0000-0000BC030000}"/>
    <cellStyle name="Обычный 34 3" xfId="957" xr:uid="{00000000-0005-0000-0000-0000BD030000}"/>
    <cellStyle name="Обычный 35" xfId="958" xr:uid="{00000000-0005-0000-0000-0000BE030000}"/>
    <cellStyle name="Обычный 35 2" xfId="959" xr:uid="{00000000-0005-0000-0000-0000BF030000}"/>
    <cellStyle name="Обычный 36" xfId="960" xr:uid="{00000000-0005-0000-0000-0000C0030000}"/>
    <cellStyle name="Обычный 36 2" xfId="961" xr:uid="{00000000-0005-0000-0000-0000C1030000}"/>
    <cellStyle name="Обычный 37" xfId="962" xr:uid="{00000000-0005-0000-0000-0000C2030000}"/>
    <cellStyle name="Обычный 37 2" xfId="963" xr:uid="{00000000-0005-0000-0000-0000C3030000}"/>
    <cellStyle name="Обычный 37 3" xfId="964" xr:uid="{00000000-0005-0000-0000-0000C4030000}"/>
    <cellStyle name="Обычный 38" xfId="965" xr:uid="{00000000-0005-0000-0000-0000C5030000}"/>
    <cellStyle name="Обычный 38 2" xfId="966" xr:uid="{00000000-0005-0000-0000-0000C6030000}"/>
    <cellStyle name="Обычный 39" xfId="967" xr:uid="{00000000-0005-0000-0000-0000C7030000}"/>
    <cellStyle name="Обычный 39 2" xfId="968" xr:uid="{00000000-0005-0000-0000-0000C8030000}"/>
    <cellStyle name="Обычный 4" xfId="969" xr:uid="{00000000-0005-0000-0000-0000C9030000}"/>
    <cellStyle name="Обычный 4 10" xfId="970" xr:uid="{00000000-0005-0000-0000-0000CA030000}"/>
    <cellStyle name="Обычный 4 11" xfId="971" xr:uid="{00000000-0005-0000-0000-0000CB030000}"/>
    <cellStyle name="Обычный 4 12" xfId="972" xr:uid="{00000000-0005-0000-0000-0000CC030000}"/>
    <cellStyle name="Обычный 4 13" xfId="973" xr:uid="{00000000-0005-0000-0000-0000CD030000}"/>
    <cellStyle name="Обычный 4 14" xfId="1613" xr:uid="{893B0F40-330A-4B0B-9C72-89E40D980DAF}"/>
    <cellStyle name="Обычный 4 2" xfId="974" xr:uid="{00000000-0005-0000-0000-0000CE030000}"/>
    <cellStyle name="Обычный 4 2 2" xfId="975" xr:uid="{00000000-0005-0000-0000-0000CF030000}"/>
    <cellStyle name="Обычный 4 3" xfId="976" xr:uid="{00000000-0005-0000-0000-0000D0030000}"/>
    <cellStyle name="Обычный 4 3 2" xfId="977" xr:uid="{00000000-0005-0000-0000-0000D1030000}"/>
    <cellStyle name="Обычный 4 4" xfId="978" xr:uid="{00000000-0005-0000-0000-0000D2030000}"/>
    <cellStyle name="Обычный 4 4 2" xfId="979" xr:uid="{00000000-0005-0000-0000-0000D3030000}"/>
    <cellStyle name="Обычный 4 5" xfId="980" xr:uid="{00000000-0005-0000-0000-0000D4030000}"/>
    <cellStyle name="Обычный 4 6" xfId="981" xr:uid="{00000000-0005-0000-0000-0000D5030000}"/>
    <cellStyle name="Обычный 4 7" xfId="982" xr:uid="{00000000-0005-0000-0000-0000D6030000}"/>
    <cellStyle name="Обычный 4 8" xfId="983" xr:uid="{00000000-0005-0000-0000-0000D7030000}"/>
    <cellStyle name="Обычный 4 9" xfId="984" xr:uid="{00000000-0005-0000-0000-0000D8030000}"/>
    <cellStyle name="Обычный 40" xfId="985" xr:uid="{00000000-0005-0000-0000-0000D9030000}"/>
    <cellStyle name="Обычный 40 2" xfId="986" xr:uid="{00000000-0005-0000-0000-0000DA030000}"/>
    <cellStyle name="Обычный 41" xfId="987" xr:uid="{00000000-0005-0000-0000-0000DB030000}"/>
    <cellStyle name="Обычный 41 2" xfId="988" xr:uid="{00000000-0005-0000-0000-0000DC030000}"/>
    <cellStyle name="Обычный 42" xfId="989" xr:uid="{00000000-0005-0000-0000-0000DD030000}"/>
    <cellStyle name="Обычный 42 2" xfId="990" xr:uid="{00000000-0005-0000-0000-0000DE030000}"/>
    <cellStyle name="Обычный 43" xfId="991" xr:uid="{00000000-0005-0000-0000-0000DF030000}"/>
    <cellStyle name="Обычный 43 2" xfId="992" xr:uid="{00000000-0005-0000-0000-0000E0030000}"/>
    <cellStyle name="Обычный 44" xfId="993" xr:uid="{00000000-0005-0000-0000-0000E1030000}"/>
    <cellStyle name="Обычный 44 2" xfId="994" xr:uid="{00000000-0005-0000-0000-0000E2030000}"/>
    <cellStyle name="Обычный 45" xfId="995" xr:uid="{00000000-0005-0000-0000-0000E3030000}"/>
    <cellStyle name="Обычный 45 2" xfId="996" xr:uid="{00000000-0005-0000-0000-0000E4030000}"/>
    <cellStyle name="Обычный 46" xfId="997" xr:uid="{00000000-0005-0000-0000-0000E5030000}"/>
    <cellStyle name="Обычный 46 2" xfId="998" xr:uid="{00000000-0005-0000-0000-0000E6030000}"/>
    <cellStyle name="Обычный 47" xfId="999" xr:uid="{00000000-0005-0000-0000-0000E7030000}"/>
    <cellStyle name="Обычный 47 2" xfId="1000" xr:uid="{00000000-0005-0000-0000-0000E8030000}"/>
    <cellStyle name="Обычный 48" xfId="1001" xr:uid="{00000000-0005-0000-0000-0000E9030000}"/>
    <cellStyle name="Обычный 48 2" xfId="1002" xr:uid="{00000000-0005-0000-0000-0000EA030000}"/>
    <cellStyle name="Обычный 49" xfId="1003" xr:uid="{00000000-0005-0000-0000-0000EB030000}"/>
    <cellStyle name="Обычный 49 2" xfId="1004" xr:uid="{00000000-0005-0000-0000-0000EC030000}"/>
    <cellStyle name="Обычный 5" xfId="1005" xr:uid="{00000000-0005-0000-0000-0000ED030000}"/>
    <cellStyle name="Обычный 5 2" xfId="1006" xr:uid="{00000000-0005-0000-0000-0000EE030000}"/>
    <cellStyle name="Обычный 5 3" xfId="1007" xr:uid="{00000000-0005-0000-0000-0000EF030000}"/>
    <cellStyle name="Обычный 5 4" xfId="1008" xr:uid="{00000000-0005-0000-0000-0000F0030000}"/>
    <cellStyle name="Обычный 50" xfId="1009" xr:uid="{00000000-0005-0000-0000-0000F1030000}"/>
    <cellStyle name="Обычный 50 2" xfId="1010" xr:uid="{00000000-0005-0000-0000-0000F2030000}"/>
    <cellStyle name="Обычный 51" xfId="1011" xr:uid="{00000000-0005-0000-0000-0000F3030000}"/>
    <cellStyle name="Обычный 51 2" xfId="1012" xr:uid="{00000000-0005-0000-0000-0000F4030000}"/>
    <cellStyle name="Обычный 52" xfId="1013" xr:uid="{00000000-0005-0000-0000-0000F5030000}"/>
    <cellStyle name="Обычный 52 2" xfId="1014" xr:uid="{00000000-0005-0000-0000-0000F6030000}"/>
    <cellStyle name="Обычный 53" xfId="1015" xr:uid="{00000000-0005-0000-0000-0000F7030000}"/>
    <cellStyle name="Обычный 53 2" xfId="1016" xr:uid="{00000000-0005-0000-0000-0000F8030000}"/>
    <cellStyle name="Обычный 54" xfId="1017" xr:uid="{00000000-0005-0000-0000-0000F9030000}"/>
    <cellStyle name="Обычный 54 2" xfId="1018" xr:uid="{00000000-0005-0000-0000-0000FA030000}"/>
    <cellStyle name="Обычный 55" xfId="1019" xr:uid="{00000000-0005-0000-0000-0000FB030000}"/>
    <cellStyle name="Обычный 55 2" xfId="1020" xr:uid="{00000000-0005-0000-0000-0000FC030000}"/>
    <cellStyle name="Обычный 56" xfId="1021" xr:uid="{00000000-0005-0000-0000-0000FD030000}"/>
    <cellStyle name="Обычный 56 2" xfId="1022" xr:uid="{00000000-0005-0000-0000-0000FE030000}"/>
    <cellStyle name="Обычный 57" xfId="1023" xr:uid="{00000000-0005-0000-0000-0000FF030000}"/>
    <cellStyle name="Обычный 57 2" xfId="1024" xr:uid="{00000000-0005-0000-0000-000000040000}"/>
    <cellStyle name="Обычный 58" xfId="1025" xr:uid="{00000000-0005-0000-0000-000001040000}"/>
    <cellStyle name="Обычный 58 2" xfId="1026" xr:uid="{00000000-0005-0000-0000-000002040000}"/>
    <cellStyle name="Обычный 59" xfId="1027" xr:uid="{00000000-0005-0000-0000-000003040000}"/>
    <cellStyle name="Обычный 59 2" xfId="1028" xr:uid="{00000000-0005-0000-0000-000004040000}"/>
    <cellStyle name="Обычный 6" xfId="1029" xr:uid="{00000000-0005-0000-0000-000005040000}"/>
    <cellStyle name="Обычный 6 2" xfId="1030" xr:uid="{00000000-0005-0000-0000-000006040000}"/>
    <cellStyle name="Обычный 6 2 2" xfId="1031" xr:uid="{00000000-0005-0000-0000-000007040000}"/>
    <cellStyle name="Обычный 6 2 3" xfId="1032" xr:uid="{00000000-0005-0000-0000-000008040000}"/>
    <cellStyle name="Обычный 6 3" xfId="1033" xr:uid="{00000000-0005-0000-0000-000009040000}"/>
    <cellStyle name="Обычный 6 3 2" xfId="1034" xr:uid="{00000000-0005-0000-0000-00000A040000}"/>
    <cellStyle name="Обычный 6 4" xfId="1035" xr:uid="{00000000-0005-0000-0000-00000B040000}"/>
    <cellStyle name="Обычный 6 5" xfId="1036" xr:uid="{00000000-0005-0000-0000-00000C040000}"/>
    <cellStyle name="Обычный 6 5 2" xfId="1037" xr:uid="{00000000-0005-0000-0000-00000D040000}"/>
    <cellStyle name="Обычный 60" xfId="1038" xr:uid="{00000000-0005-0000-0000-00000E040000}"/>
    <cellStyle name="Обычный 60 2" xfId="1039" xr:uid="{00000000-0005-0000-0000-00000F040000}"/>
    <cellStyle name="Обычный 61" xfId="1040" xr:uid="{00000000-0005-0000-0000-000010040000}"/>
    <cellStyle name="Обычный 61 2" xfId="1041" xr:uid="{00000000-0005-0000-0000-000011040000}"/>
    <cellStyle name="Обычный 62" xfId="1042" xr:uid="{00000000-0005-0000-0000-000012040000}"/>
    <cellStyle name="Обычный 62 2" xfId="1043" xr:uid="{00000000-0005-0000-0000-000013040000}"/>
    <cellStyle name="Обычный 63" xfId="1044" xr:uid="{00000000-0005-0000-0000-000014040000}"/>
    <cellStyle name="Обычный 63 2" xfId="1045" xr:uid="{00000000-0005-0000-0000-000015040000}"/>
    <cellStyle name="Обычный 64" xfId="1046" xr:uid="{00000000-0005-0000-0000-000016040000}"/>
    <cellStyle name="Обычный 64 2" xfId="1047" xr:uid="{00000000-0005-0000-0000-000017040000}"/>
    <cellStyle name="Обычный 65" xfId="1048" xr:uid="{00000000-0005-0000-0000-000018040000}"/>
    <cellStyle name="Обычный 65 2" xfId="1049" xr:uid="{00000000-0005-0000-0000-000019040000}"/>
    <cellStyle name="Обычный 66" xfId="1050" xr:uid="{00000000-0005-0000-0000-00001A040000}"/>
    <cellStyle name="Обычный 66 2" xfId="1051" xr:uid="{00000000-0005-0000-0000-00001B040000}"/>
    <cellStyle name="Обычный 67" xfId="1052" xr:uid="{00000000-0005-0000-0000-00001C040000}"/>
    <cellStyle name="Обычный 67 2" xfId="1053" xr:uid="{00000000-0005-0000-0000-00001D040000}"/>
    <cellStyle name="Обычный 68" xfId="1054" xr:uid="{00000000-0005-0000-0000-00001E040000}"/>
    <cellStyle name="Обычный 68 2" xfId="1055" xr:uid="{00000000-0005-0000-0000-00001F040000}"/>
    <cellStyle name="Обычный 69" xfId="1056" xr:uid="{00000000-0005-0000-0000-000020040000}"/>
    <cellStyle name="Обычный 69 2" xfId="1057" xr:uid="{00000000-0005-0000-0000-000021040000}"/>
    <cellStyle name="Обычный 7" xfId="1058" xr:uid="{00000000-0005-0000-0000-000022040000}"/>
    <cellStyle name="Обычный 7 10" xfId="1059" xr:uid="{00000000-0005-0000-0000-000023040000}"/>
    <cellStyle name="Обычный 7 11" xfId="1060" xr:uid="{00000000-0005-0000-0000-000024040000}"/>
    <cellStyle name="Обычный 7 12" xfId="1061" xr:uid="{00000000-0005-0000-0000-000025040000}"/>
    <cellStyle name="Обычный 7 2" xfId="1062" xr:uid="{00000000-0005-0000-0000-000026040000}"/>
    <cellStyle name="Обычный 7 2 2" xfId="1063" xr:uid="{00000000-0005-0000-0000-000027040000}"/>
    <cellStyle name="Обычный 7 2 2 2" xfId="1064" xr:uid="{00000000-0005-0000-0000-000028040000}"/>
    <cellStyle name="Обычный 7 2 2 2 2" xfId="1065" xr:uid="{00000000-0005-0000-0000-000029040000}"/>
    <cellStyle name="Обычный 7 2 2 2 2 2" xfId="1066" xr:uid="{00000000-0005-0000-0000-00002A040000}"/>
    <cellStyle name="Обычный 7 2 2 2 2 2 2" xfId="1067" xr:uid="{00000000-0005-0000-0000-00002B040000}"/>
    <cellStyle name="Обычный 7 2 2 2 2 2 2 2" xfId="1068" xr:uid="{00000000-0005-0000-0000-00002C040000}"/>
    <cellStyle name="Обычный 7 2 2 2 2 2 2 2 2" xfId="1069" xr:uid="{00000000-0005-0000-0000-00002D040000}"/>
    <cellStyle name="Обычный 7 2 2 2 2 2 2 2 2 2" xfId="1070" xr:uid="{00000000-0005-0000-0000-00002E040000}"/>
    <cellStyle name="Обычный 7 2 2 2 2 2 2 2 2 3" xfId="1071" xr:uid="{00000000-0005-0000-0000-00002F040000}"/>
    <cellStyle name="Обычный 7 2 2 2 2 2 2 2 2 3 2" xfId="1072" xr:uid="{00000000-0005-0000-0000-000030040000}"/>
    <cellStyle name="Обычный 7 2 2 2 2 2 2 2 2 4" xfId="1073" xr:uid="{00000000-0005-0000-0000-000031040000}"/>
    <cellStyle name="Обычный 7 2 2 2 2 2 2 2 2 5" xfId="1074" xr:uid="{00000000-0005-0000-0000-000032040000}"/>
    <cellStyle name="Обычный 7 2 2 2 2 2 2 3" xfId="1075" xr:uid="{00000000-0005-0000-0000-000033040000}"/>
    <cellStyle name="Обычный 7 2 2 2 2 2 2 4" xfId="1076" xr:uid="{00000000-0005-0000-0000-000034040000}"/>
    <cellStyle name="Обычный 7 2 2 2 2 2 3" xfId="1077" xr:uid="{00000000-0005-0000-0000-000035040000}"/>
    <cellStyle name="Обычный 7 2 2 2 2 2 3 2" xfId="1078" xr:uid="{00000000-0005-0000-0000-000036040000}"/>
    <cellStyle name="Обычный 7 2 2 2 2 2 4" xfId="1079" xr:uid="{00000000-0005-0000-0000-000037040000}"/>
    <cellStyle name="Обычный 7 2 2 2 2 2 4 2" xfId="1080" xr:uid="{00000000-0005-0000-0000-000038040000}"/>
    <cellStyle name="Обычный 7 2 2 2 2 2 4 3" xfId="1081" xr:uid="{00000000-0005-0000-0000-000039040000}"/>
    <cellStyle name="Обычный 7 2 2 2 2 2 4 3 2" xfId="1082" xr:uid="{00000000-0005-0000-0000-00003A040000}"/>
    <cellStyle name="Обычный 7 2 2 2 2 2 5" xfId="1083" xr:uid="{00000000-0005-0000-0000-00003B040000}"/>
    <cellStyle name="Обычный 7 2 2 2 2 2 6" xfId="1084" xr:uid="{00000000-0005-0000-0000-00003C040000}"/>
    <cellStyle name="Обычный 7 2 2 2 2 2 7" xfId="1085" xr:uid="{00000000-0005-0000-0000-00003D040000}"/>
    <cellStyle name="Обычный 7 2 2 2 2 2 8" xfId="1086" xr:uid="{00000000-0005-0000-0000-00003E040000}"/>
    <cellStyle name="Обычный 7 2 2 2 2 3" xfId="1087" xr:uid="{00000000-0005-0000-0000-00003F040000}"/>
    <cellStyle name="Обычный 7 2 2 2 2 3 10" xfId="1088" xr:uid="{00000000-0005-0000-0000-000040040000}"/>
    <cellStyle name="Обычный 7 2 2 2 2 3 2" xfId="1089" xr:uid="{00000000-0005-0000-0000-000041040000}"/>
    <cellStyle name="Обычный 7 2 2 2 2 3 2 2" xfId="1090" xr:uid="{00000000-0005-0000-0000-000042040000}"/>
    <cellStyle name="Обычный 7 2 2 2 2 3 3" xfId="1091" xr:uid="{00000000-0005-0000-0000-000043040000}"/>
    <cellStyle name="Обычный 7 2 2 2 2 3 3 2" xfId="1092" xr:uid="{00000000-0005-0000-0000-000044040000}"/>
    <cellStyle name="Обычный 7 2 2 2 2 3 3 3" xfId="1093" xr:uid="{00000000-0005-0000-0000-000045040000}"/>
    <cellStyle name="Обычный 7 2 2 2 2 3 3 3 2" xfId="1094" xr:uid="{00000000-0005-0000-0000-000046040000}"/>
    <cellStyle name="Обычный 7 2 2 2 2 3 3 3 2 2" xfId="1095" xr:uid="{00000000-0005-0000-0000-000047040000}"/>
    <cellStyle name="Обычный 7 2 2 2 2 3 3 3 2 2 2" xfId="1096" xr:uid="{00000000-0005-0000-0000-000048040000}"/>
    <cellStyle name="Обычный 7 2 2 2 2 3 4" xfId="1097" xr:uid="{00000000-0005-0000-0000-000049040000}"/>
    <cellStyle name="Обычный 7 2 2 2 2 3 4 2" xfId="1098" xr:uid="{00000000-0005-0000-0000-00004A040000}"/>
    <cellStyle name="Обычный 7 2 2 2 2 3 4 2 2" xfId="1099" xr:uid="{00000000-0005-0000-0000-00004B040000}"/>
    <cellStyle name="Обычный 7 2 2 2 2 3 4 2 2 2" xfId="1100" xr:uid="{00000000-0005-0000-0000-00004C040000}"/>
    <cellStyle name="Обычный 7 2 2 2 2 3 4 2 2 2 2" xfId="1101" xr:uid="{00000000-0005-0000-0000-00004D040000}"/>
    <cellStyle name="Обычный 7 2 2 2 2 3 4 2 3" xfId="1102" xr:uid="{00000000-0005-0000-0000-00004E040000}"/>
    <cellStyle name="Обычный 7 2 2 2 2 3 4 2 3 2" xfId="1103" xr:uid="{00000000-0005-0000-0000-00004F040000}"/>
    <cellStyle name="Обычный 7 2 2 2 2 3 4 3" xfId="1104" xr:uid="{00000000-0005-0000-0000-000050040000}"/>
    <cellStyle name="Обычный 7 2 2 2 2 3 5" xfId="1105" xr:uid="{00000000-0005-0000-0000-000051040000}"/>
    <cellStyle name="Обычный 7 2 2 2 2 3 6" xfId="1106" xr:uid="{00000000-0005-0000-0000-000052040000}"/>
    <cellStyle name="Обычный 7 2 2 2 2 3 7" xfId="1107" xr:uid="{00000000-0005-0000-0000-000053040000}"/>
    <cellStyle name="Обычный 7 2 2 2 2 3 8" xfId="1108" xr:uid="{00000000-0005-0000-0000-000054040000}"/>
    <cellStyle name="Обычный 7 2 2 2 2 3 8 2" xfId="1109" xr:uid="{00000000-0005-0000-0000-000055040000}"/>
    <cellStyle name="Обычный 7 2 2 2 2 3 9" xfId="1110" xr:uid="{00000000-0005-0000-0000-000056040000}"/>
    <cellStyle name="Обычный 7 2 2 2 2 4" xfId="1111" xr:uid="{00000000-0005-0000-0000-000057040000}"/>
    <cellStyle name="Обычный 7 2 2 2 3" xfId="1112" xr:uid="{00000000-0005-0000-0000-000058040000}"/>
    <cellStyle name="Обычный 7 2 2 3" xfId="1113" xr:uid="{00000000-0005-0000-0000-000059040000}"/>
    <cellStyle name="Обычный 7 2 2 3 2" xfId="1114" xr:uid="{00000000-0005-0000-0000-00005A040000}"/>
    <cellStyle name="Обычный 7 2 2 4" xfId="1115" xr:uid="{00000000-0005-0000-0000-00005B040000}"/>
    <cellStyle name="Обычный 7 2 3" xfId="1116" xr:uid="{00000000-0005-0000-0000-00005C040000}"/>
    <cellStyle name="Обычный 7 2 3 2" xfId="1117" xr:uid="{00000000-0005-0000-0000-00005D040000}"/>
    <cellStyle name="Обычный 7 2 4" xfId="1118" xr:uid="{00000000-0005-0000-0000-00005E040000}"/>
    <cellStyle name="Обычный 7 2 5" xfId="1119" xr:uid="{00000000-0005-0000-0000-00005F040000}"/>
    <cellStyle name="Обычный 7 3" xfId="1120" xr:uid="{00000000-0005-0000-0000-000060040000}"/>
    <cellStyle name="Обычный 7 3 2" xfId="1121" xr:uid="{00000000-0005-0000-0000-000061040000}"/>
    <cellStyle name="Обычный 7 4" xfId="1122" xr:uid="{00000000-0005-0000-0000-000062040000}"/>
    <cellStyle name="Обычный 7 4 2" xfId="1123" xr:uid="{00000000-0005-0000-0000-000063040000}"/>
    <cellStyle name="Обычный 7 5" xfId="1124" xr:uid="{00000000-0005-0000-0000-000064040000}"/>
    <cellStyle name="Обычный 7 5 2" xfId="1125" xr:uid="{00000000-0005-0000-0000-000065040000}"/>
    <cellStyle name="Обычный 7 6" xfId="1126" xr:uid="{00000000-0005-0000-0000-000066040000}"/>
    <cellStyle name="Обычный 7 7" xfId="1127" xr:uid="{00000000-0005-0000-0000-000067040000}"/>
    <cellStyle name="Обычный 7 8" xfId="1128" xr:uid="{00000000-0005-0000-0000-000068040000}"/>
    <cellStyle name="Обычный 7 9" xfId="1129" xr:uid="{00000000-0005-0000-0000-000069040000}"/>
    <cellStyle name="Обычный 70" xfId="1130" xr:uid="{00000000-0005-0000-0000-00006A040000}"/>
    <cellStyle name="Обычный 70 2" xfId="1131" xr:uid="{00000000-0005-0000-0000-00006B040000}"/>
    <cellStyle name="Обычный 71" xfId="1132" xr:uid="{00000000-0005-0000-0000-00006C040000}"/>
    <cellStyle name="Обычный 71 2" xfId="1133" xr:uid="{00000000-0005-0000-0000-00006D040000}"/>
    <cellStyle name="Обычный 72" xfId="1134" xr:uid="{00000000-0005-0000-0000-00006E040000}"/>
    <cellStyle name="Обычный 72 2" xfId="1135" xr:uid="{00000000-0005-0000-0000-00006F040000}"/>
    <cellStyle name="Обычный 73" xfId="1136" xr:uid="{00000000-0005-0000-0000-000070040000}"/>
    <cellStyle name="Обычный 73 2" xfId="1137" xr:uid="{00000000-0005-0000-0000-000071040000}"/>
    <cellStyle name="Обычный 74" xfId="1138" xr:uid="{00000000-0005-0000-0000-000072040000}"/>
    <cellStyle name="Обычный 74 2" xfId="1139" xr:uid="{00000000-0005-0000-0000-000073040000}"/>
    <cellStyle name="Обычный 74 3" xfId="1140" xr:uid="{00000000-0005-0000-0000-000074040000}"/>
    <cellStyle name="Обычный 75" xfId="1141" xr:uid="{00000000-0005-0000-0000-000075040000}"/>
    <cellStyle name="Обычный 75 2" xfId="1142" xr:uid="{00000000-0005-0000-0000-000076040000}"/>
    <cellStyle name="Обычный 76" xfId="1143" xr:uid="{00000000-0005-0000-0000-000077040000}"/>
    <cellStyle name="Обычный 76 2" xfId="1144" xr:uid="{00000000-0005-0000-0000-000078040000}"/>
    <cellStyle name="Обычный 77" xfId="1145" xr:uid="{00000000-0005-0000-0000-000079040000}"/>
    <cellStyle name="Обычный 77 2" xfId="1146" xr:uid="{00000000-0005-0000-0000-00007A040000}"/>
    <cellStyle name="Обычный 78" xfId="1147" xr:uid="{00000000-0005-0000-0000-00007B040000}"/>
    <cellStyle name="Обычный 78 2" xfId="1148" xr:uid="{00000000-0005-0000-0000-00007C040000}"/>
    <cellStyle name="Обычный 79" xfId="1149" xr:uid="{00000000-0005-0000-0000-00007D040000}"/>
    <cellStyle name="Обычный 79 2" xfId="1150" xr:uid="{00000000-0005-0000-0000-00007E040000}"/>
    <cellStyle name="Обычный 8" xfId="1151" xr:uid="{00000000-0005-0000-0000-00007F040000}"/>
    <cellStyle name="Обычный 8 2" xfId="1152" xr:uid="{00000000-0005-0000-0000-000080040000}"/>
    <cellStyle name="Обычный 8 2 2" xfId="1153" xr:uid="{00000000-0005-0000-0000-000081040000}"/>
    <cellStyle name="Обычный 8 2 3" xfId="1154" xr:uid="{00000000-0005-0000-0000-000082040000}"/>
    <cellStyle name="Обычный 8 3" xfId="1155" xr:uid="{00000000-0005-0000-0000-000083040000}"/>
    <cellStyle name="Обычный 8 3 2" xfId="1156" xr:uid="{00000000-0005-0000-0000-000084040000}"/>
    <cellStyle name="Обычный 8 4" xfId="1157" xr:uid="{00000000-0005-0000-0000-000085040000}"/>
    <cellStyle name="Обычный 8 4 2" xfId="1158" xr:uid="{00000000-0005-0000-0000-000086040000}"/>
    <cellStyle name="Обычный 80" xfId="1159" xr:uid="{00000000-0005-0000-0000-000087040000}"/>
    <cellStyle name="Обычный 80 2" xfId="1160" xr:uid="{00000000-0005-0000-0000-000088040000}"/>
    <cellStyle name="Обычный 81" xfId="1161" xr:uid="{00000000-0005-0000-0000-000089040000}"/>
    <cellStyle name="Обычный 81 2" xfId="1162" xr:uid="{00000000-0005-0000-0000-00008A040000}"/>
    <cellStyle name="Обычный 82" xfId="1163" xr:uid="{00000000-0005-0000-0000-00008B040000}"/>
    <cellStyle name="Обычный 82 2" xfId="1164" xr:uid="{00000000-0005-0000-0000-00008C040000}"/>
    <cellStyle name="Обычный 83" xfId="1165" xr:uid="{00000000-0005-0000-0000-00008D040000}"/>
    <cellStyle name="Обычный 83 2" xfId="1166" xr:uid="{00000000-0005-0000-0000-00008E040000}"/>
    <cellStyle name="Обычный 84" xfId="1167" xr:uid="{00000000-0005-0000-0000-00008F040000}"/>
    <cellStyle name="Обычный 84 2" xfId="1168" xr:uid="{00000000-0005-0000-0000-000090040000}"/>
    <cellStyle name="Обычный 85" xfId="1169" xr:uid="{00000000-0005-0000-0000-000091040000}"/>
    <cellStyle name="Обычный 85 2" xfId="1170" xr:uid="{00000000-0005-0000-0000-000092040000}"/>
    <cellStyle name="Обычный 86" xfId="1171" xr:uid="{00000000-0005-0000-0000-000093040000}"/>
    <cellStyle name="Обычный 86 2" xfId="1172" xr:uid="{00000000-0005-0000-0000-000094040000}"/>
    <cellStyle name="Обычный 87" xfId="1173" xr:uid="{00000000-0005-0000-0000-000095040000}"/>
    <cellStyle name="Обычный 87 2" xfId="1174" xr:uid="{00000000-0005-0000-0000-000096040000}"/>
    <cellStyle name="Обычный 88" xfId="1175" xr:uid="{00000000-0005-0000-0000-000097040000}"/>
    <cellStyle name="Обычный 88 2" xfId="1176" xr:uid="{00000000-0005-0000-0000-000098040000}"/>
    <cellStyle name="Обычный 89" xfId="1177" xr:uid="{00000000-0005-0000-0000-000099040000}"/>
    <cellStyle name="Обычный 89 2" xfId="1178" xr:uid="{00000000-0005-0000-0000-00009A040000}"/>
    <cellStyle name="Обычный 9" xfId="1179" xr:uid="{00000000-0005-0000-0000-00009B040000}"/>
    <cellStyle name="Обычный 9 2" xfId="1180" xr:uid="{00000000-0005-0000-0000-00009C040000}"/>
    <cellStyle name="Обычный 9 2 2" xfId="1181" xr:uid="{00000000-0005-0000-0000-00009D040000}"/>
    <cellStyle name="Обычный 9 2 2 2" xfId="1182" xr:uid="{00000000-0005-0000-0000-00009E040000}"/>
    <cellStyle name="Обычный 9 2 3" xfId="1183" xr:uid="{00000000-0005-0000-0000-00009F040000}"/>
    <cellStyle name="Обычный 9 2 3 2" xfId="1184" xr:uid="{00000000-0005-0000-0000-0000A0040000}"/>
    <cellStyle name="Обычный 9 2 3 2 2" xfId="1185" xr:uid="{00000000-0005-0000-0000-0000A1040000}"/>
    <cellStyle name="Обычный 9 2 3 2 2 2" xfId="1186" xr:uid="{00000000-0005-0000-0000-0000A2040000}"/>
    <cellStyle name="Обычный 9 2 3 2 2 2 2" xfId="1187" xr:uid="{00000000-0005-0000-0000-0000A3040000}"/>
    <cellStyle name="Обычный 9 2 3 3" xfId="1188" xr:uid="{00000000-0005-0000-0000-0000A4040000}"/>
    <cellStyle name="Обычный 9 2 3 4" xfId="1189" xr:uid="{00000000-0005-0000-0000-0000A5040000}"/>
    <cellStyle name="Обычный 9 2 3 5" xfId="1190" xr:uid="{00000000-0005-0000-0000-0000A6040000}"/>
    <cellStyle name="Обычный 9 2 4" xfId="1191" xr:uid="{00000000-0005-0000-0000-0000A7040000}"/>
    <cellStyle name="Обычный 9 3" xfId="1192" xr:uid="{00000000-0005-0000-0000-0000A8040000}"/>
    <cellStyle name="Обычный 9 3 2" xfId="1193" xr:uid="{00000000-0005-0000-0000-0000A9040000}"/>
    <cellStyle name="Обычный 9 4" xfId="1194" xr:uid="{00000000-0005-0000-0000-0000AA040000}"/>
    <cellStyle name="Обычный 90" xfId="1195" xr:uid="{00000000-0005-0000-0000-0000AB040000}"/>
    <cellStyle name="Обычный 90 2" xfId="1196" xr:uid="{00000000-0005-0000-0000-0000AC040000}"/>
    <cellStyle name="Обычный 91" xfId="1197" xr:uid="{00000000-0005-0000-0000-0000AD040000}"/>
    <cellStyle name="Обычный 91 2" xfId="1198" xr:uid="{00000000-0005-0000-0000-0000AE040000}"/>
    <cellStyle name="Обычный 92" xfId="1199" xr:uid="{00000000-0005-0000-0000-0000AF040000}"/>
    <cellStyle name="Обычный 92 2" xfId="1200" xr:uid="{00000000-0005-0000-0000-0000B0040000}"/>
    <cellStyle name="Обычный 93" xfId="1201" xr:uid="{00000000-0005-0000-0000-0000B1040000}"/>
    <cellStyle name="Обычный 93 2" xfId="1202" xr:uid="{00000000-0005-0000-0000-0000B2040000}"/>
    <cellStyle name="Обычный 94" xfId="1203" xr:uid="{00000000-0005-0000-0000-0000B3040000}"/>
    <cellStyle name="Обычный 94 2" xfId="1204" xr:uid="{00000000-0005-0000-0000-0000B4040000}"/>
    <cellStyle name="Обычный 95" xfId="1205" xr:uid="{00000000-0005-0000-0000-0000B5040000}"/>
    <cellStyle name="Обычный 95 2" xfId="1206" xr:uid="{00000000-0005-0000-0000-0000B6040000}"/>
    <cellStyle name="Обычный 96" xfId="1207" xr:uid="{00000000-0005-0000-0000-0000B7040000}"/>
    <cellStyle name="Обычный 96 2" xfId="1208" xr:uid="{00000000-0005-0000-0000-0000B8040000}"/>
    <cellStyle name="Обычный 97" xfId="1209" xr:uid="{00000000-0005-0000-0000-0000B9040000}"/>
    <cellStyle name="Обычный 97 2" xfId="1210" xr:uid="{00000000-0005-0000-0000-0000BA040000}"/>
    <cellStyle name="Обычный 98" xfId="1211" xr:uid="{00000000-0005-0000-0000-0000BB040000}"/>
    <cellStyle name="Обычный 98 2" xfId="1212" xr:uid="{00000000-0005-0000-0000-0000BC040000}"/>
    <cellStyle name="Обычный 99" xfId="1213" xr:uid="{00000000-0005-0000-0000-0000BD040000}"/>
    <cellStyle name="Обычный 99 2" xfId="1214" xr:uid="{00000000-0005-0000-0000-0000BE040000}"/>
    <cellStyle name="Обычный_рцк" xfId="1215" xr:uid="{00000000-0005-0000-0000-0000BF040000}"/>
    <cellStyle name="Параметр" xfId="1216" xr:uid="{00000000-0005-0000-0000-0000C0040000}"/>
    <cellStyle name="ПеременныеСметы" xfId="1217" xr:uid="{00000000-0005-0000-0000-0000C1040000}"/>
    <cellStyle name="ПеременныеСметы 2" xfId="1218" xr:uid="{00000000-0005-0000-0000-0000C2040000}"/>
    <cellStyle name="Плохой 10 2" xfId="1219" xr:uid="{00000000-0005-0000-0000-0000C3040000}"/>
    <cellStyle name="Плохой 11" xfId="1220" xr:uid="{00000000-0005-0000-0000-0000C4040000}"/>
    <cellStyle name="Плохой 2" xfId="1221" xr:uid="{00000000-0005-0000-0000-0000C5040000}"/>
    <cellStyle name="Плохой 2 2" xfId="1222" xr:uid="{00000000-0005-0000-0000-0000C6040000}"/>
    <cellStyle name="Плохой 3 2" xfId="1223" xr:uid="{00000000-0005-0000-0000-0000C7040000}"/>
    <cellStyle name="Плохой 4 2" xfId="1224" xr:uid="{00000000-0005-0000-0000-0000C8040000}"/>
    <cellStyle name="Плохой 5 2" xfId="1225" xr:uid="{00000000-0005-0000-0000-0000C9040000}"/>
    <cellStyle name="Плохой 6 2" xfId="1226" xr:uid="{00000000-0005-0000-0000-0000CA040000}"/>
    <cellStyle name="Плохой 7 2" xfId="1227" xr:uid="{00000000-0005-0000-0000-0000CB040000}"/>
    <cellStyle name="Плохой 8 2" xfId="1228" xr:uid="{00000000-0005-0000-0000-0000CC040000}"/>
    <cellStyle name="Плохой 9 2" xfId="1229" xr:uid="{00000000-0005-0000-0000-0000CD040000}"/>
    <cellStyle name="Пояснение 10 2" xfId="1230" xr:uid="{00000000-0005-0000-0000-0000CE040000}"/>
    <cellStyle name="Пояснение 11" xfId="1231" xr:uid="{00000000-0005-0000-0000-0000CF040000}"/>
    <cellStyle name="Пояснение 2" xfId="1232" xr:uid="{00000000-0005-0000-0000-0000D0040000}"/>
    <cellStyle name="Пояснение 2 2" xfId="1233" xr:uid="{00000000-0005-0000-0000-0000D1040000}"/>
    <cellStyle name="Пояснение 3 2" xfId="1234" xr:uid="{00000000-0005-0000-0000-0000D2040000}"/>
    <cellStyle name="Пояснение 4 2" xfId="1235" xr:uid="{00000000-0005-0000-0000-0000D3040000}"/>
    <cellStyle name="Пояснение 5 2" xfId="1236" xr:uid="{00000000-0005-0000-0000-0000D4040000}"/>
    <cellStyle name="Пояснение 6 2" xfId="1237" xr:uid="{00000000-0005-0000-0000-0000D5040000}"/>
    <cellStyle name="Пояснение 7 2" xfId="1238" xr:uid="{00000000-0005-0000-0000-0000D6040000}"/>
    <cellStyle name="Пояснение 8 2" xfId="1239" xr:uid="{00000000-0005-0000-0000-0000D7040000}"/>
    <cellStyle name="Пояснение 9 2" xfId="1240" xr:uid="{00000000-0005-0000-0000-0000D8040000}"/>
    <cellStyle name="Примечание 10 2" xfId="1241" xr:uid="{00000000-0005-0000-0000-0000D9040000}"/>
    <cellStyle name="Примечание 10 2 2" xfId="1242" xr:uid="{00000000-0005-0000-0000-0000DA040000}"/>
    <cellStyle name="Примечание 10 2 3" xfId="1243" xr:uid="{00000000-0005-0000-0000-0000DB040000}"/>
    <cellStyle name="Примечание 10 2 4" xfId="1244" xr:uid="{00000000-0005-0000-0000-0000DC040000}"/>
    <cellStyle name="Примечание 10 2 5" xfId="1245" xr:uid="{00000000-0005-0000-0000-0000DD040000}"/>
    <cellStyle name="Примечание 10 2 6" xfId="1246" xr:uid="{00000000-0005-0000-0000-0000DE040000}"/>
    <cellStyle name="Примечание 10 2 7" xfId="1247" xr:uid="{00000000-0005-0000-0000-0000DF040000}"/>
    <cellStyle name="Примечание 11" xfId="1248" xr:uid="{00000000-0005-0000-0000-0000E0040000}"/>
    <cellStyle name="Примечание 11 2" xfId="1249" xr:uid="{00000000-0005-0000-0000-0000E1040000}"/>
    <cellStyle name="Примечание 11 3" xfId="1250" xr:uid="{00000000-0005-0000-0000-0000E2040000}"/>
    <cellStyle name="Примечание 11 4" xfId="1251" xr:uid="{00000000-0005-0000-0000-0000E3040000}"/>
    <cellStyle name="Примечание 11 5" xfId="1252" xr:uid="{00000000-0005-0000-0000-0000E4040000}"/>
    <cellStyle name="Примечание 11 6" xfId="1253" xr:uid="{00000000-0005-0000-0000-0000E5040000}"/>
    <cellStyle name="Примечание 11 7" xfId="1254" xr:uid="{00000000-0005-0000-0000-0000E6040000}"/>
    <cellStyle name="Примечание 2" xfId="1255" xr:uid="{00000000-0005-0000-0000-0000E7040000}"/>
    <cellStyle name="Примечание 2 2" xfId="1256" xr:uid="{00000000-0005-0000-0000-0000E8040000}"/>
    <cellStyle name="Примечание 2 2 2" xfId="1257" xr:uid="{00000000-0005-0000-0000-0000E9040000}"/>
    <cellStyle name="Примечание 2 2 3" xfId="1258" xr:uid="{00000000-0005-0000-0000-0000EA040000}"/>
    <cellStyle name="Примечание 2 2 4" xfId="1259" xr:uid="{00000000-0005-0000-0000-0000EB040000}"/>
    <cellStyle name="Примечание 2 2 5" xfId="1260" xr:uid="{00000000-0005-0000-0000-0000EC040000}"/>
    <cellStyle name="Примечание 2 2 6" xfId="1261" xr:uid="{00000000-0005-0000-0000-0000ED040000}"/>
    <cellStyle name="Примечание 2 2 7" xfId="1262" xr:uid="{00000000-0005-0000-0000-0000EE040000}"/>
    <cellStyle name="Примечание 2 3" xfId="1263" xr:uid="{00000000-0005-0000-0000-0000EF040000}"/>
    <cellStyle name="Примечание 2 4" xfId="1264" xr:uid="{00000000-0005-0000-0000-0000F0040000}"/>
    <cellStyle name="Примечание 2 5" xfId="1265" xr:uid="{00000000-0005-0000-0000-0000F1040000}"/>
    <cellStyle name="Примечание 2 6" xfId="1266" xr:uid="{00000000-0005-0000-0000-0000F2040000}"/>
    <cellStyle name="Примечание 2 7" xfId="1267" xr:uid="{00000000-0005-0000-0000-0000F3040000}"/>
    <cellStyle name="Примечание 2 8" xfId="1268" xr:uid="{00000000-0005-0000-0000-0000F4040000}"/>
    <cellStyle name="Примечание 3 2" xfId="1269" xr:uid="{00000000-0005-0000-0000-0000F5040000}"/>
    <cellStyle name="Примечание 3 2 2" xfId="1270" xr:uid="{00000000-0005-0000-0000-0000F6040000}"/>
    <cellStyle name="Примечание 3 2 3" xfId="1271" xr:uid="{00000000-0005-0000-0000-0000F7040000}"/>
    <cellStyle name="Примечание 3 2 4" xfId="1272" xr:uid="{00000000-0005-0000-0000-0000F8040000}"/>
    <cellStyle name="Примечание 3 2 5" xfId="1273" xr:uid="{00000000-0005-0000-0000-0000F9040000}"/>
    <cellStyle name="Примечание 3 2 6" xfId="1274" xr:uid="{00000000-0005-0000-0000-0000FA040000}"/>
    <cellStyle name="Примечание 3 2 7" xfId="1275" xr:uid="{00000000-0005-0000-0000-0000FB040000}"/>
    <cellStyle name="Примечание 4 2" xfId="1276" xr:uid="{00000000-0005-0000-0000-0000FC040000}"/>
    <cellStyle name="Примечание 4 2 2" xfId="1277" xr:uid="{00000000-0005-0000-0000-0000FD040000}"/>
    <cellStyle name="Примечание 4 2 3" xfId="1278" xr:uid="{00000000-0005-0000-0000-0000FE040000}"/>
    <cellStyle name="Примечание 4 2 4" xfId="1279" xr:uid="{00000000-0005-0000-0000-0000FF040000}"/>
    <cellStyle name="Примечание 4 2 5" xfId="1280" xr:uid="{00000000-0005-0000-0000-000000050000}"/>
    <cellStyle name="Примечание 4 2 6" xfId="1281" xr:uid="{00000000-0005-0000-0000-000001050000}"/>
    <cellStyle name="Примечание 4 2 7" xfId="1282" xr:uid="{00000000-0005-0000-0000-000002050000}"/>
    <cellStyle name="Примечание 5 2" xfId="1283" xr:uid="{00000000-0005-0000-0000-000003050000}"/>
    <cellStyle name="Примечание 5 2 2" xfId="1284" xr:uid="{00000000-0005-0000-0000-000004050000}"/>
    <cellStyle name="Примечание 5 2 3" xfId="1285" xr:uid="{00000000-0005-0000-0000-000005050000}"/>
    <cellStyle name="Примечание 5 2 4" xfId="1286" xr:uid="{00000000-0005-0000-0000-000006050000}"/>
    <cellStyle name="Примечание 5 2 5" xfId="1287" xr:uid="{00000000-0005-0000-0000-000007050000}"/>
    <cellStyle name="Примечание 5 2 6" xfId="1288" xr:uid="{00000000-0005-0000-0000-000008050000}"/>
    <cellStyle name="Примечание 5 2 7" xfId="1289" xr:uid="{00000000-0005-0000-0000-000009050000}"/>
    <cellStyle name="Примечание 6 2" xfId="1290" xr:uid="{00000000-0005-0000-0000-00000A050000}"/>
    <cellStyle name="Примечание 6 2 2" xfId="1291" xr:uid="{00000000-0005-0000-0000-00000B050000}"/>
    <cellStyle name="Примечание 6 2 3" xfId="1292" xr:uid="{00000000-0005-0000-0000-00000C050000}"/>
    <cellStyle name="Примечание 6 2 4" xfId="1293" xr:uid="{00000000-0005-0000-0000-00000D050000}"/>
    <cellStyle name="Примечание 6 2 5" xfId="1294" xr:uid="{00000000-0005-0000-0000-00000E050000}"/>
    <cellStyle name="Примечание 6 2 6" xfId="1295" xr:uid="{00000000-0005-0000-0000-00000F050000}"/>
    <cellStyle name="Примечание 6 2 7" xfId="1296" xr:uid="{00000000-0005-0000-0000-000010050000}"/>
    <cellStyle name="Примечание 7 2" xfId="1297" xr:uid="{00000000-0005-0000-0000-000011050000}"/>
    <cellStyle name="Примечание 7 2 2" xfId="1298" xr:uid="{00000000-0005-0000-0000-000012050000}"/>
    <cellStyle name="Примечание 7 2 3" xfId="1299" xr:uid="{00000000-0005-0000-0000-000013050000}"/>
    <cellStyle name="Примечание 7 2 4" xfId="1300" xr:uid="{00000000-0005-0000-0000-000014050000}"/>
    <cellStyle name="Примечание 7 2 5" xfId="1301" xr:uid="{00000000-0005-0000-0000-000015050000}"/>
    <cellStyle name="Примечание 7 2 6" xfId="1302" xr:uid="{00000000-0005-0000-0000-000016050000}"/>
    <cellStyle name="Примечание 7 2 7" xfId="1303" xr:uid="{00000000-0005-0000-0000-000017050000}"/>
    <cellStyle name="Примечание 8 2" xfId="1304" xr:uid="{00000000-0005-0000-0000-000018050000}"/>
    <cellStyle name="Примечание 8 2 2" xfId="1305" xr:uid="{00000000-0005-0000-0000-000019050000}"/>
    <cellStyle name="Примечание 8 2 3" xfId="1306" xr:uid="{00000000-0005-0000-0000-00001A050000}"/>
    <cellStyle name="Примечание 8 2 4" xfId="1307" xr:uid="{00000000-0005-0000-0000-00001B050000}"/>
    <cellStyle name="Примечание 8 2 5" xfId="1308" xr:uid="{00000000-0005-0000-0000-00001C050000}"/>
    <cellStyle name="Примечание 8 2 6" xfId="1309" xr:uid="{00000000-0005-0000-0000-00001D050000}"/>
    <cellStyle name="Примечание 8 2 7" xfId="1310" xr:uid="{00000000-0005-0000-0000-00001E050000}"/>
    <cellStyle name="Примечание 9 2" xfId="1311" xr:uid="{00000000-0005-0000-0000-00001F050000}"/>
    <cellStyle name="Примечание 9 2 2" xfId="1312" xr:uid="{00000000-0005-0000-0000-000020050000}"/>
    <cellStyle name="Примечание 9 2 3" xfId="1313" xr:uid="{00000000-0005-0000-0000-000021050000}"/>
    <cellStyle name="Примечание 9 2 4" xfId="1314" xr:uid="{00000000-0005-0000-0000-000022050000}"/>
    <cellStyle name="Примечание 9 2 5" xfId="1315" xr:uid="{00000000-0005-0000-0000-000023050000}"/>
    <cellStyle name="Примечание 9 2 6" xfId="1316" xr:uid="{00000000-0005-0000-0000-000024050000}"/>
    <cellStyle name="Примечание 9 2 7" xfId="1317" xr:uid="{00000000-0005-0000-0000-000025050000}"/>
    <cellStyle name="Процентный 2" xfId="1318" xr:uid="{00000000-0005-0000-0000-000026050000}"/>
    <cellStyle name="Процентный 2 2" xfId="1319" xr:uid="{00000000-0005-0000-0000-000027050000}"/>
    <cellStyle name="Процентный 3" xfId="1320" xr:uid="{00000000-0005-0000-0000-000028050000}"/>
    <cellStyle name="Процентный 3 2" xfId="1321" xr:uid="{00000000-0005-0000-0000-000029050000}"/>
    <cellStyle name="РесСмета" xfId="1322" xr:uid="{00000000-0005-0000-0000-00002A050000}"/>
    <cellStyle name="РесСмета 2" xfId="1323" xr:uid="{00000000-0005-0000-0000-00002B050000}"/>
    <cellStyle name="СводВедРес" xfId="1324" xr:uid="{00000000-0005-0000-0000-00002C050000}"/>
    <cellStyle name="СводкаСтоимРаб" xfId="1325" xr:uid="{00000000-0005-0000-0000-00002D050000}"/>
    <cellStyle name="СводкаСтоимРаб 2" xfId="1326" xr:uid="{00000000-0005-0000-0000-00002E050000}"/>
    <cellStyle name="СводРасч" xfId="1327" xr:uid="{00000000-0005-0000-0000-00002F050000}"/>
    <cellStyle name="Связанная ячейка 10 2" xfId="1328" xr:uid="{00000000-0005-0000-0000-000030050000}"/>
    <cellStyle name="Связанная ячейка 11" xfId="1329" xr:uid="{00000000-0005-0000-0000-000031050000}"/>
    <cellStyle name="Связанная ячейка 2" xfId="1330" xr:uid="{00000000-0005-0000-0000-000032050000}"/>
    <cellStyle name="Связанная ячейка 2 2" xfId="1331" xr:uid="{00000000-0005-0000-0000-000033050000}"/>
    <cellStyle name="Связанная ячейка 3 2" xfId="1332" xr:uid="{00000000-0005-0000-0000-000034050000}"/>
    <cellStyle name="Связанная ячейка 4 2" xfId="1333" xr:uid="{00000000-0005-0000-0000-000035050000}"/>
    <cellStyle name="Связанная ячейка 5 2" xfId="1334" xr:uid="{00000000-0005-0000-0000-000036050000}"/>
    <cellStyle name="Связанная ячейка 6 2" xfId="1335" xr:uid="{00000000-0005-0000-0000-000037050000}"/>
    <cellStyle name="Связанная ячейка 7 2" xfId="1336" xr:uid="{00000000-0005-0000-0000-000038050000}"/>
    <cellStyle name="Связанная ячейка 8 2" xfId="1337" xr:uid="{00000000-0005-0000-0000-000039050000}"/>
    <cellStyle name="Связанная ячейка 9 2" xfId="1338" xr:uid="{00000000-0005-0000-0000-00003A050000}"/>
    <cellStyle name="Стиль 1" xfId="1339" xr:uid="{00000000-0005-0000-0000-00003B050000}"/>
    <cellStyle name="Стиль 1 2" xfId="1340" xr:uid="{00000000-0005-0000-0000-00003C050000}"/>
    <cellStyle name="Текст предупреждения 10 2" xfId="1341" xr:uid="{00000000-0005-0000-0000-00003D050000}"/>
    <cellStyle name="Текст предупреждения 11" xfId="1342" xr:uid="{00000000-0005-0000-0000-00003E050000}"/>
    <cellStyle name="Текст предупреждения 2" xfId="1343" xr:uid="{00000000-0005-0000-0000-00003F050000}"/>
    <cellStyle name="Текст предупреждения 2 2" xfId="1344" xr:uid="{00000000-0005-0000-0000-000040050000}"/>
    <cellStyle name="Текст предупреждения 3 2" xfId="1345" xr:uid="{00000000-0005-0000-0000-000041050000}"/>
    <cellStyle name="Текст предупреждения 4 2" xfId="1346" xr:uid="{00000000-0005-0000-0000-000042050000}"/>
    <cellStyle name="Текст предупреждения 5 2" xfId="1347" xr:uid="{00000000-0005-0000-0000-000043050000}"/>
    <cellStyle name="Текст предупреждения 6 2" xfId="1348" xr:uid="{00000000-0005-0000-0000-000044050000}"/>
    <cellStyle name="Текст предупреждения 7 2" xfId="1349" xr:uid="{00000000-0005-0000-0000-000045050000}"/>
    <cellStyle name="Текст предупреждения 8 2" xfId="1350" xr:uid="{00000000-0005-0000-0000-000046050000}"/>
    <cellStyle name="Текст предупреждения 9 2" xfId="1351" xr:uid="{00000000-0005-0000-0000-000047050000}"/>
    <cellStyle name="Титул" xfId="1352" xr:uid="{00000000-0005-0000-0000-000048050000}"/>
    <cellStyle name="Тысячи [0]_laroux" xfId="1353" xr:uid="{00000000-0005-0000-0000-000049050000}"/>
    <cellStyle name="Тысячи_laroux" xfId="1354" xr:uid="{00000000-0005-0000-0000-00004A050000}"/>
    <cellStyle name="Финансовый [0] 2" xfId="1355" xr:uid="{00000000-0005-0000-0000-00004B050000}"/>
    <cellStyle name="Финансовый 10" xfId="1356" xr:uid="{00000000-0005-0000-0000-00004C050000}"/>
    <cellStyle name="Финансовый 10 2" xfId="1357" xr:uid="{00000000-0005-0000-0000-00004D050000}"/>
    <cellStyle name="Финансовый 10 2 2" xfId="1358" xr:uid="{00000000-0005-0000-0000-00004E050000}"/>
    <cellStyle name="Финансовый 10 2 3" xfId="1359" xr:uid="{00000000-0005-0000-0000-00004F050000}"/>
    <cellStyle name="Финансовый 10 3" xfId="1360" xr:uid="{00000000-0005-0000-0000-000050050000}"/>
    <cellStyle name="Финансовый 10 3 2" xfId="1361" xr:uid="{00000000-0005-0000-0000-000051050000}"/>
    <cellStyle name="Финансовый 11" xfId="1362" xr:uid="{00000000-0005-0000-0000-000052050000}"/>
    <cellStyle name="Финансовый 11 2" xfId="1363" xr:uid="{00000000-0005-0000-0000-000053050000}"/>
    <cellStyle name="Финансовый 11 2 2" xfId="1364" xr:uid="{00000000-0005-0000-0000-000054050000}"/>
    <cellStyle name="Финансовый 11 3" xfId="1365" xr:uid="{00000000-0005-0000-0000-000055050000}"/>
    <cellStyle name="Финансовый 11 3 2" xfId="1366" xr:uid="{00000000-0005-0000-0000-000056050000}"/>
    <cellStyle name="Финансовый 12" xfId="1367" xr:uid="{00000000-0005-0000-0000-000057050000}"/>
    <cellStyle name="Финансовый 12 2" xfId="1368" xr:uid="{00000000-0005-0000-0000-000058050000}"/>
    <cellStyle name="Финансовый 12 2 2" xfId="1369" xr:uid="{00000000-0005-0000-0000-000059050000}"/>
    <cellStyle name="Финансовый 12 3" xfId="1370" xr:uid="{00000000-0005-0000-0000-00005A050000}"/>
    <cellStyle name="Финансовый 12 3 2" xfId="1371" xr:uid="{00000000-0005-0000-0000-00005B050000}"/>
    <cellStyle name="Финансовый 13" xfId="1372" xr:uid="{00000000-0005-0000-0000-00005C050000}"/>
    <cellStyle name="Финансовый 13 2" xfId="1373" xr:uid="{00000000-0005-0000-0000-00005D050000}"/>
    <cellStyle name="Финансовый 13 2 2" xfId="1374" xr:uid="{00000000-0005-0000-0000-00005E050000}"/>
    <cellStyle name="Финансовый 13 3" xfId="1375" xr:uid="{00000000-0005-0000-0000-00005F050000}"/>
    <cellStyle name="Финансовый 13 3 2" xfId="1376" xr:uid="{00000000-0005-0000-0000-000060050000}"/>
    <cellStyle name="Финансовый 13 4" xfId="1377" xr:uid="{00000000-0005-0000-0000-000061050000}"/>
    <cellStyle name="Финансовый 13 4 2" xfId="1378" xr:uid="{00000000-0005-0000-0000-000062050000}"/>
    <cellStyle name="Финансовый 13 5" xfId="1379" xr:uid="{00000000-0005-0000-0000-000063050000}"/>
    <cellStyle name="Финансовый 13 6" xfId="1380" xr:uid="{00000000-0005-0000-0000-000064050000}"/>
    <cellStyle name="Финансовый 14" xfId="1381" xr:uid="{00000000-0005-0000-0000-000065050000}"/>
    <cellStyle name="Финансовый 14 2" xfId="1382" xr:uid="{00000000-0005-0000-0000-000066050000}"/>
    <cellStyle name="Финансовый 14 3" xfId="1383" xr:uid="{00000000-0005-0000-0000-000067050000}"/>
    <cellStyle name="Финансовый 14 3 2" xfId="1384" xr:uid="{00000000-0005-0000-0000-000068050000}"/>
    <cellStyle name="Финансовый 15" xfId="1385" xr:uid="{00000000-0005-0000-0000-000069050000}"/>
    <cellStyle name="Финансовый 15 2" xfId="1386" xr:uid="{00000000-0005-0000-0000-00006A050000}"/>
    <cellStyle name="Финансовый 15 3" xfId="1387" xr:uid="{00000000-0005-0000-0000-00006B050000}"/>
    <cellStyle name="Финансовый 16" xfId="1388" xr:uid="{00000000-0005-0000-0000-00006C050000}"/>
    <cellStyle name="Финансовый 16 2" xfId="1389" xr:uid="{00000000-0005-0000-0000-00006D050000}"/>
    <cellStyle name="Финансовый 17" xfId="1390" xr:uid="{00000000-0005-0000-0000-00006E050000}"/>
    <cellStyle name="Финансовый 17 2" xfId="1391" xr:uid="{00000000-0005-0000-0000-00006F050000}"/>
    <cellStyle name="Финансовый 18" xfId="1392" xr:uid="{00000000-0005-0000-0000-000070050000}"/>
    <cellStyle name="Финансовый 18 2" xfId="1393" xr:uid="{00000000-0005-0000-0000-000071050000}"/>
    <cellStyle name="Финансовый 19" xfId="1394" xr:uid="{00000000-0005-0000-0000-000072050000}"/>
    <cellStyle name="Финансовый 19 2" xfId="1395" xr:uid="{00000000-0005-0000-0000-000073050000}"/>
    <cellStyle name="Финансовый 2" xfId="1396" xr:uid="{00000000-0005-0000-0000-000074050000}"/>
    <cellStyle name="Финансовый 2 10" xfId="1397" xr:uid="{00000000-0005-0000-0000-000075050000}"/>
    <cellStyle name="Финансовый 2 10 2" xfId="1398" xr:uid="{00000000-0005-0000-0000-000076050000}"/>
    <cellStyle name="Финансовый 2 11" xfId="1399" xr:uid="{00000000-0005-0000-0000-000077050000}"/>
    <cellStyle name="Финансовый 2 11 2" xfId="1400" xr:uid="{00000000-0005-0000-0000-000078050000}"/>
    <cellStyle name="Финансовый 2 12" xfId="1401" xr:uid="{00000000-0005-0000-0000-000079050000}"/>
    <cellStyle name="Финансовый 2 12 2" xfId="1402" xr:uid="{00000000-0005-0000-0000-00007A050000}"/>
    <cellStyle name="Финансовый 2 13" xfId="1403" xr:uid="{00000000-0005-0000-0000-00007B050000}"/>
    <cellStyle name="Финансовый 2 14" xfId="1404" xr:uid="{00000000-0005-0000-0000-00007C050000}"/>
    <cellStyle name="Финансовый 2 15" xfId="1405" xr:uid="{00000000-0005-0000-0000-00007D050000}"/>
    <cellStyle name="Финансовый 2 16" xfId="1406" xr:uid="{00000000-0005-0000-0000-00007E050000}"/>
    <cellStyle name="Финансовый 2 17" xfId="1407" xr:uid="{00000000-0005-0000-0000-00007F050000}"/>
    <cellStyle name="Финансовый 2 18" xfId="1408" xr:uid="{00000000-0005-0000-0000-000080050000}"/>
    <cellStyle name="Финансовый 2 19" xfId="1409" xr:uid="{00000000-0005-0000-0000-000081050000}"/>
    <cellStyle name="Финансовый 2 2" xfId="1410" xr:uid="{00000000-0005-0000-0000-000082050000}"/>
    <cellStyle name="Финансовый 2 2 10" xfId="1411" xr:uid="{00000000-0005-0000-0000-000083050000}"/>
    <cellStyle name="Финансовый 2 2 10 2" xfId="1412" xr:uid="{00000000-0005-0000-0000-000084050000}"/>
    <cellStyle name="Финансовый 2 2 11" xfId="1413" xr:uid="{00000000-0005-0000-0000-000085050000}"/>
    <cellStyle name="Финансовый 2 2 11 2" xfId="1414" xr:uid="{00000000-0005-0000-0000-000086050000}"/>
    <cellStyle name="Финансовый 2 2 12" xfId="1415" xr:uid="{00000000-0005-0000-0000-000087050000}"/>
    <cellStyle name="Финансовый 2 2 12 2" xfId="1416" xr:uid="{00000000-0005-0000-0000-000088050000}"/>
    <cellStyle name="Финансовый 2 2 13" xfId="1417" xr:uid="{00000000-0005-0000-0000-000089050000}"/>
    <cellStyle name="Финансовый 2 2 14" xfId="1418" xr:uid="{00000000-0005-0000-0000-00008A050000}"/>
    <cellStyle name="Финансовый 2 2 15" xfId="1419" xr:uid="{00000000-0005-0000-0000-00008B050000}"/>
    <cellStyle name="Финансовый 2 2 16" xfId="1420" xr:uid="{00000000-0005-0000-0000-00008C050000}"/>
    <cellStyle name="Финансовый 2 2 2" xfId="1421" xr:uid="{00000000-0005-0000-0000-00008D050000}"/>
    <cellStyle name="Финансовый 2 2 2 2" xfId="1422" xr:uid="{00000000-0005-0000-0000-00008E050000}"/>
    <cellStyle name="Финансовый 2 2 2 2 2" xfId="1423" xr:uid="{00000000-0005-0000-0000-00008F050000}"/>
    <cellStyle name="Финансовый 2 2 2 2 3" xfId="1424" xr:uid="{00000000-0005-0000-0000-000090050000}"/>
    <cellStyle name="Финансовый 2 2 2 3" xfId="1425" xr:uid="{00000000-0005-0000-0000-000091050000}"/>
    <cellStyle name="Финансовый 2 2 2 4" xfId="1426" xr:uid="{00000000-0005-0000-0000-000092050000}"/>
    <cellStyle name="Финансовый 2 2 2 5" xfId="1427" xr:uid="{00000000-0005-0000-0000-000093050000}"/>
    <cellStyle name="Финансовый 2 2 3" xfId="1428" xr:uid="{00000000-0005-0000-0000-000094050000}"/>
    <cellStyle name="Финансовый 2 2 3 2" xfId="1429" xr:uid="{00000000-0005-0000-0000-000095050000}"/>
    <cellStyle name="Финансовый 2 2 3 3" xfId="1430" xr:uid="{00000000-0005-0000-0000-000096050000}"/>
    <cellStyle name="Финансовый 2 2 4" xfId="1431" xr:uid="{00000000-0005-0000-0000-000097050000}"/>
    <cellStyle name="Финансовый 2 2 4 2" xfId="1432" xr:uid="{00000000-0005-0000-0000-000098050000}"/>
    <cellStyle name="Финансовый 2 2 5" xfId="1433" xr:uid="{00000000-0005-0000-0000-000099050000}"/>
    <cellStyle name="Финансовый 2 2 5 2" xfId="1434" xr:uid="{00000000-0005-0000-0000-00009A050000}"/>
    <cellStyle name="Финансовый 2 2 6" xfId="1435" xr:uid="{00000000-0005-0000-0000-00009B050000}"/>
    <cellStyle name="Финансовый 2 2 6 2" xfId="1436" xr:uid="{00000000-0005-0000-0000-00009C050000}"/>
    <cellStyle name="Финансовый 2 2 7" xfId="1437" xr:uid="{00000000-0005-0000-0000-00009D050000}"/>
    <cellStyle name="Финансовый 2 2 7 2" xfId="1438" xr:uid="{00000000-0005-0000-0000-00009E050000}"/>
    <cellStyle name="Финансовый 2 2 8" xfId="1439" xr:uid="{00000000-0005-0000-0000-00009F050000}"/>
    <cellStyle name="Финансовый 2 2 8 2" xfId="1440" xr:uid="{00000000-0005-0000-0000-0000A0050000}"/>
    <cellStyle name="Финансовый 2 2 9" xfId="1441" xr:uid="{00000000-0005-0000-0000-0000A1050000}"/>
    <cellStyle name="Финансовый 2 2 9 2" xfId="1442" xr:uid="{00000000-0005-0000-0000-0000A2050000}"/>
    <cellStyle name="Финансовый 2 20" xfId="1443" xr:uid="{00000000-0005-0000-0000-0000A3050000}"/>
    <cellStyle name="Финансовый 2 21" xfId="1444" xr:uid="{00000000-0005-0000-0000-0000A4050000}"/>
    <cellStyle name="Финансовый 2 22" xfId="1445" xr:uid="{00000000-0005-0000-0000-0000A5050000}"/>
    <cellStyle name="Финансовый 2 23" xfId="1446" xr:uid="{00000000-0005-0000-0000-0000A6050000}"/>
    <cellStyle name="Финансовый 2 3" xfId="1447" xr:uid="{00000000-0005-0000-0000-0000A7050000}"/>
    <cellStyle name="Финансовый 2 3 2" xfId="1448" xr:uid="{00000000-0005-0000-0000-0000A8050000}"/>
    <cellStyle name="Финансовый 2 3 3" xfId="1449" xr:uid="{00000000-0005-0000-0000-0000A9050000}"/>
    <cellStyle name="Финансовый 2 4" xfId="1450" xr:uid="{00000000-0005-0000-0000-0000AA050000}"/>
    <cellStyle name="Финансовый 2 4 2" xfId="1451" xr:uid="{00000000-0005-0000-0000-0000AB050000}"/>
    <cellStyle name="Финансовый 2 4 3" xfId="1452" xr:uid="{00000000-0005-0000-0000-0000AC050000}"/>
    <cellStyle name="Финансовый 2 5" xfId="1453" xr:uid="{00000000-0005-0000-0000-0000AD050000}"/>
    <cellStyle name="Финансовый 2 5 2" xfId="1454" xr:uid="{00000000-0005-0000-0000-0000AE050000}"/>
    <cellStyle name="Финансовый 2 6" xfId="1455" xr:uid="{00000000-0005-0000-0000-0000AF050000}"/>
    <cellStyle name="Финансовый 2 6 2" xfId="1456" xr:uid="{00000000-0005-0000-0000-0000B0050000}"/>
    <cellStyle name="Финансовый 2 7" xfId="1457" xr:uid="{00000000-0005-0000-0000-0000B1050000}"/>
    <cellStyle name="Финансовый 2 7 2" xfId="1458" xr:uid="{00000000-0005-0000-0000-0000B2050000}"/>
    <cellStyle name="Финансовый 2 8" xfId="1459" xr:uid="{00000000-0005-0000-0000-0000B3050000}"/>
    <cellStyle name="Финансовый 2 8 2" xfId="1460" xr:uid="{00000000-0005-0000-0000-0000B4050000}"/>
    <cellStyle name="Финансовый 2 9" xfId="1461" xr:uid="{00000000-0005-0000-0000-0000B5050000}"/>
    <cellStyle name="Финансовый 2 9 2" xfId="1462" xr:uid="{00000000-0005-0000-0000-0000B6050000}"/>
    <cellStyle name="Финансовый 2_металл Сергею 15.10.09" xfId="1463" xr:uid="{00000000-0005-0000-0000-0000B7050000}"/>
    <cellStyle name="Финансовый 20" xfId="1464" xr:uid="{00000000-0005-0000-0000-0000B8050000}"/>
    <cellStyle name="Финансовый 20 2" xfId="1465" xr:uid="{00000000-0005-0000-0000-0000B9050000}"/>
    <cellStyle name="Финансовый 21" xfId="1466" xr:uid="{00000000-0005-0000-0000-0000BA050000}"/>
    <cellStyle name="Финансовый 21 2" xfId="1467" xr:uid="{00000000-0005-0000-0000-0000BB050000}"/>
    <cellStyle name="Финансовый 22" xfId="1468" xr:uid="{00000000-0005-0000-0000-0000BC050000}"/>
    <cellStyle name="Финансовый 22 2" xfId="1469" xr:uid="{00000000-0005-0000-0000-0000BD050000}"/>
    <cellStyle name="Финансовый 23" xfId="1470" xr:uid="{00000000-0005-0000-0000-0000BE050000}"/>
    <cellStyle name="Финансовый 23 2" xfId="1471" xr:uid="{00000000-0005-0000-0000-0000BF050000}"/>
    <cellStyle name="Финансовый 24" xfId="1472" xr:uid="{00000000-0005-0000-0000-0000C0050000}"/>
    <cellStyle name="Финансовый 24 2" xfId="1473" xr:uid="{00000000-0005-0000-0000-0000C1050000}"/>
    <cellStyle name="Финансовый 25" xfId="1474" xr:uid="{00000000-0005-0000-0000-0000C2050000}"/>
    <cellStyle name="Финансовый 25 2" xfId="1475" xr:uid="{00000000-0005-0000-0000-0000C3050000}"/>
    <cellStyle name="Финансовый 26" xfId="1476" xr:uid="{00000000-0005-0000-0000-0000C4050000}"/>
    <cellStyle name="Финансовый 26 2" xfId="1477" xr:uid="{00000000-0005-0000-0000-0000C5050000}"/>
    <cellStyle name="Финансовый 27" xfId="1478" xr:uid="{00000000-0005-0000-0000-0000C6050000}"/>
    <cellStyle name="Финансовый 28" xfId="1479" xr:uid="{00000000-0005-0000-0000-0000C7050000}"/>
    <cellStyle name="Финансовый 28 2" xfId="1480" xr:uid="{00000000-0005-0000-0000-0000C8050000}"/>
    <cellStyle name="Финансовый 29" xfId="1481" xr:uid="{00000000-0005-0000-0000-0000C9050000}"/>
    <cellStyle name="Финансовый 29 2" xfId="1482" xr:uid="{00000000-0005-0000-0000-0000CA050000}"/>
    <cellStyle name="Финансовый 3" xfId="1483" xr:uid="{00000000-0005-0000-0000-0000CB050000}"/>
    <cellStyle name="Финансовый 3 10" xfId="1484" xr:uid="{00000000-0005-0000-0000-0000CC050000}"/>
    <cellStyle name="Финансовый 3 11" xfId="1485" xr:uid="{00000000-0005-0000-0000-0000CD050000}"/>
    <cellStyle name="Финансовый 3 12" xfId="1486" xr:uid="{00000000-0005-0000-0000-0000CE050000}"/>
    <cellStyle name="Финансовый 3 13" xfId="1487" xr:uid="{00000000-0005-0000-0000-0000CF050000}"/>
    <cellStyle name="Финансовый 3 14" xfId="1488" xr:uid="{00000000-0005-0000-0000-0000D0050000}"/>
    <cellStyle name="Финансовый 3 15" xfId="1489" xr:uid="{00000000-0005-0000-0000-0000D1050000}"/>
    <cellStyle name="Финансовый 3 16" xfId="1490" xr:uid="{00000000-0005-0000-0000-0000D2050000}"/>
    <cellStyle name="Финансовый 3 17" xfId="1491" xr:uid="{00000000-0005-0000-0000-0000D3050000}"/>
    <cellStyle name="Финансовый 3 18" xfId="1492" xr:uid="{00000000-0005-0000-0000-0000D4050000}"/>
    <cellStyle name="Финансовый 3 19" xfId="1493" xr:uid="{00000000-0005-0000-0000-0000D5050000}"/>
    <cellStyle name="Финансовый 3 2" xfId="1494" xr:uid="{00000000-0005-0000-0000-0000D6050000}"/>
    <cellStyle name="Финансовый 3 2 2" xfId="1495" xr:uid="{00000000-0005-0000-0000-0000D7050000}"/>
    <cellStyle name="Финансовый 3 2 2 2" xfId="1496" xr:uid="{00000000-0005-0000-0000-0000D8050000}"/>
    <cellStyle name="Финансовый 3 2 2 2 2" xfId="1497" xr:uid="{00000000-0005-0000-0000-0000D9050000}"/>
    <cellStyle name="Финансовый 3 2 2 2 2 2" xfId="1498" xr:uid="{00000000-0005-0000-0000-0000DA050000}"/>
    <cellStyle name="Финансовый 3 2 2 2 2 2 2" xfId="1499" xr:uid="{00000000-0005-0000-0000-0000DB050000}"/>
    <cellStyle name="Финансовый 3 2 2 2 2 3" xfId="1500" xr:uid="{00000000-0005-0000-0000-0000DC050000}"/>
    <cellStyle name="Финансовый 3 2 2 2 3" xfId="1501" xr:uid="{00000000-0005-0000-0000-0000DD050000}"/>
    <cellStyle name="Финансовый 3 2 2 3" xfId="1502" xr:uid="{00000000-0005-0000-0000-0000DE050000}"/>
    <cellStyle name="Финансовый 3 2 2 4" xfId="1503" xr:uid="{00000000-0005-0000-0000-0000DF050000}"/>
    <cellStyle name="Финансовый 3 2 3" xfId="1504" xr:uid="{00000000-0005-0000-0000-0000E0050000}"/>
    <cellStyle name="Финансовый 3 2 3 2" xfId="1505" xr:uid="{00000000-0005-0000-0000-0000E1050000}"/>
    <cellStyle name="Финансовый 3 2 4" xfId="1506" xr:uid="{00000000-0005-0000-0000-0000E2050000}"/>
    <cellStyle name="Финансовый 3 2 4 2" xfId="1507" xr:uid="{00000000-0005-0000-0000-0000E3050000}"/>
    <cellStyle name="Финансовый 3 2 5" xfId="1508" xr:uid="{00000000-0005-0000-0000-0000E4050000}"/>
    <cellStyle name="Финансовый 3 2 5 2" xfId="1509" xr:uid="{00000000-0005-0000-0000-0000E5050000}"/>
    <cellStyle name="Финансовый 3 2 6" xfId="1510" xr:uid="{00000000-0005-0000-0000-0000E6050000}"/>
    <cellStyle name="Финансовый 3 2 6 2" xfId="1511" xr:uid="{00000000-0005-0000-0000-0000E7050000}"/>
    <cellStyle name="Финансовый 3 2 7" xfId="1512" xr:uid="{00000000-0005-0000-0000-0000E8050000}"/>
    <cellStyle name="Финансовый 3 2 7 2" xfId="1513" xr:uid="{00000000-0005-0000-0000-0000E9050000}"/>
    <cellStyle name="Финансовый 3 2 8" xfId="1514" xr:uid="{00000000-0005-0000-0000-0000EA050000}"/>
    <cellStyle name="Финансовый 3 2 8 2" xfId="1515" xr:uid="{00000000-0005-0000-0000-0000EB050000}"/>
    <cellStyle name="Финансовый 3 2 9" xfId="1516" xr:uid="{00000000-0005-0000-0000-0000EC050000}"/>
    <cellStyle name="Финансовый 3 20" xfId="1517" xr:uid="{00000000-0005-0000-0000-0000ED050000}"/>
    <cellStyle name="Финансовый 3 21" xfId="1518" xr:uid="{00000000-0005-0000-0000-0000EE050000}"/>
    <cellStyle name="Финансовый 3 22" xfId="1519" xr:uid="{00000000-0005-0000-0000-0000EF050000}"/>
    <cellStyle name="Финансовый 3 22 2" xfId="1520" xr:uid="{00000000-0005-0000-0000-0000F0050000}"/>
    <cellStyle name="Финансовый 3 3" xfId="1521" xr:uid="{00000000-0005-0000-0000-0000F1050000}"/>
    <cellStyle name="Финансовый 3 3 2" xfId="1522" xr:uid="{00000000-0005-0000-0000-0000F2050000}"/>
    <cellStyle name="Финансовый 3 4" xfId="1523" xr:uid="{00000000-0005-0000-0000-0000F3050000}"/>
    <cellStyle name="Финансовый 3 4 2" xfId="1524" xr:uid="{00000000-0005-0000-0000-0000F4050000}"/>
    <cellStyle name="Финансовый 3 4 2 2" xfId="1525" xr:uid="{00000000-0005-0000-0000-0000F5050000}"/>
    <cellStyle name="Финансовый 3 4 3" xfId="1526" xr:uid="{00000000-0005-0000-0000-0000F6050000}"/>
    <cellStyle name="Финансовый 3 5" xfId="1527" xr:uid="{00000000-0005-0000-0000-0000F7050000}"/>
    <cellStyle name="Финансовый 3 6" xfId="1528" xr:uid="{00000000-0005-0000-0000-0000F8050000}"/>
    <cellStyle name="Финансовый 3 7" xfId="1529" xr:uid="{00000000-0005-0000-0000-0000F9050000}"/>
    <cellStyle name="Финансовый 3 8" xfId="1530" xr:uid="{00000000-0005-0000-0000-0000FA050000}"/>
    <cellStyle name="Финансовый 3 9" xfId="1531" xr:uid="{00000000-0005-0000-0000-0000FB050000}"/>
    <cellStyle name="Финансовый 30" xfId="1532" xr:uid="{00000000-0005-0000-0000-0000FC050000}"/>
    <cellStyle name="Финансовый 31" xfId="1533" xr:uid="{00000000-0005-0000-0000-0000FD050000}"/>
    <cellStyle name="Финансовый 32" xfId="1534" xr:uid="{00000000-0005-0000-0000-0000FE050000}"/>
    <cellStyle name="Финансовый 33" xfId="1535" xr:uid="{00000000-0005-0000-0000-0000FF050000}"/>
    <cellStyle name="Финансовый 34" xfId="1536" xr:uid="{00000000-0005-0000-0000-000000060000}"/>
    <cellStyle name="Финансовый 35" xfId="1537" xr:uid="{00000000-0005-0000-0000-000001060000}"/>
    <cellStyle name="Финансовый 36" xfId="1538" xr:uid="{00000000-0005-0000-0000-000002060000}"/>
    <cellStyle name="Финансовый 37" xfId="1539" xr:uid="{00000000-0005-0000-0000-000003060000}"/>
    <cellStyle name="Финансовый 38" xfId="1540" xr:uid="{00000000-0005-0000-0000-000004060000}"/>
    <cellStyle name="Финансовый 39" xfId="1541" xr:uid="{00000000-0005-0000-0000-000005060000}"/>
    <cellStyle name="Финансовый 4" xfId="1542" xr:uid="{00000000-0005-0000-0000-000006060000}"/>
    <cellStyle name="Финансовый 4 10" xfId="1543" xr:uid="{00000000-0005-0000-0000-000007060000}"/>
    <cellStyle name="Финансовый 4 11" xfId="1544" xr:uid="{00000000-0005-0000-0000-000008060000}"/>
    <cellStyle name="Финансовый 4 12" xfId="1545" xr:uid="{00000000-0005-0000-0000-000009060000}"/>
    <cellStyle name="Финансовый 4 13" xfId="1546" xr:uid="{00000000-0005-0000-0000-00000A060000}"/>
    <cellStyle name="Финансовый 4 14" xfId="1547" xr:uid="{00000000-0005-0000-0000-00000B060000}"/>
    <cellStyle name="Финансовый 4 15" xfId="1548" xr:uid="{00000000-0005-0000-0000-00000C060000}"/>
    <cellStyle name="Финансовый 4 2" xfId="1549" xr:uid="{00000000-0005-0000-0000-00000D060000}"/>
    <cellStyle name="Финансовый 4 2 2" xfId="1550" xr:uid="{00000000-0005-0000-0000-00000E060000}"/>
    <cellStyle name="Финансовый 4 2 3" xfId="1551" xr:uid="{00000000-0005-0000-0000-00000F060000}"/>
    <cellStyle name="Финансовый 4 3" xfId="1552" xr:uid="{00000000-0005-0000-0000-000010060000}"/>
    <cellStyle name="Финансовый 4 4" xfId="1553" xr:uid="{00000000-0005-0000-0000-000011060000}"/>
    <cellStyle name="Финансовый 4 5" xfId="1554" xr:uid="{00000000-0005-0000-0000-000012060000}"/>
    <cellStyle name="Финансовый 4 6" xfId="1555" xr:uid="{00000000-0005-0000-0000-000013060000}"/>
    <cellStyle name="Финансовый 4 7" xfId="1556" xr:uid="{00000000-0005-0000-0000-000014060000}"/>
    <cellStyle name="Финансовый 4 8" xfId="1557" xr:uid="{00000000-0005-0000-0000-000015060000}"/>
    <cellStyle name="Финансовый 4 9" xfId="1558" xr:uid="{00000000-0005-0000-0000-000016060000}"/>
    <cellStyle name="Финансовый 40" xfId="1559" xr:uid="{00000000-0005-0000-0000-000017060000}"/>
    <cellStyle name="Финансовый 41" xfId="1560" xr:uid="{00000000-0005-0000-0000-000018060000}"/>
    <cellStyle name="Финансовый 42" xfId="1561" xr:uid="{00000000-0005-0000-0000-000019060000}"/>
    <cellStyle name="Финансовый 43" xfId="1562" xr:uid="{00000000-0005-0000-0000-00001A060000}"/>
    <cellStyle name="Финансовый 44" xfId="1563" xr:uid="{00000000-0005-0000-0000-00001B060000}"/>
    <cellStyle name="Финансовый 45" xfId="1614" xr:uid="{B20226A1-D7B3-48B8-AE04-F108119D4649}"/>
    <cellStyle name="Финансовый 5" xfId="1564" xr:uid="{00000000-0005-0000-0000-00001C060000}"/>
    <cellStyle name="Финансовый 5 2" xfId="1565" xr:uid="{00000000-0005-0000-0000-00001D060000}"/>
    <cellStyle name="Финансовый 5 2 2" xfId="1566" xr:uid="{00000000-0005-0000-0000-00001E060000}"/>
    <cellStyle name="Финансовый 5 2 2 2" xfId="1567" xr:uid="{00000000-0005-0000-0000-00001F060000}"/>
    <cellStyle name="Финансовый 5 3" xfId="1568" xr:uid="{00000000-0005-0000-0000-000020060000}"/>
    <cellStyle name="Финансовый 5 4" xfId="1569" xr:uid="{00000000-0005-0000-0000-000021060000}"/>
    <cellStyle name="Финансовый 5 5" xfId="1570" xr:uid="{00000000-0005-0000-0000-000022060000}"/>
    <cellStyle name="Финансовый 5 6" xfId="1571" xr:uid="{00000000-0005-0000-0000-000023060000}"/>
    <cellStyle name="Финансовый 5 6 2" xfId="1572" xr:uid="{00000000-0005-0000-0000-000024060000}"/>
    <cellStyle name="Финансовый 6" xfId="1573" xr:uid="{00000000-0005-0000-0000-000025060000}"/>
    <cellStyle name="Финансовый 6 2" xfId="1574" xr:uid="{00000000-0005-0000-0000-000026060000}"/>
    <cellStyle name="Финансовый 6 2 2" xfId="1575" xr:uid="{00000000-0005-0000-0000-000027060000}"/>
    <cellStyle name="Финансовый 6 3" xfId="1576" xr:uid="{00000000-0005-0000-0000-000028060000}"/>
    <cellStyle name="Финансовый 6 4" xfId="1577" xr:uid="{00000000-0005-0000-0000-000029060000}"/>
    <cellStyle name="Финансовый 6 4 2" xfId="1578" xr:uid="{00000000-0005-0000-0000-00002A060000}"/>
    <cellStyle name="Финансовый 6 5" xfId="1579" xr:uid="{00000000-0005-0000-0000-00002B060000}"/>
    <cellStyle name="Финансовый 7" xfId="1580" xr:uid="{00000000-0005-0000-0000-00002C060000}"/>
    <cellStyle name="Финансовый 7 2" xfId="1581" xr:uid="{00000000-0005-0000-0000-00002D060000}"/>
    <cellStyle name="Финансовый 7 3" xfId="1582" xr:uid="{00000000-0005-0000-0000-00002E060000}"/>
    <cellStyle name="Финансовый 8" xfId="1583" xr:uid="{00000000-0005-0000-0000-00002F060000}"/>
    <cellStyle name="Финансовый 8 2" xfId="1584" xr:uid="{00000000-0005-0000-0000-000030060000}"/>
    <cellStyle name="Финансовый 8 2 2" xfId="1585" xr:uid="{00000000-0005-0000-0000-000031060000}"/>
    <cellStyle name="Финансовый 8 2 2 2" xfId="1586" xr:uid="{00000000-0005-0000-0000-000032060000}"/>
    <cellStyle name="Финансовый 8 3" xfId="1587" xr:uid="{00000000-0005-0000-0000-000033060000}"/>
    <cellStyle name="Финансовый 8 4" xfId="1588" xr:uid="{00000000-0005-0000-0000-000034060000}"/>
    <cellStyle name="Финансовый 8 4 2" xfId="1589" xr:uid="{00000000-0005-0000-0000-000035060000}"/>
    <cellStyle name="Финансовый 9" xfId="1590" xr:uid="{00000000-0005-0000-0000-000036060000}"/>
    <cellStyle name="Финансовый 9 2" xfId="1591" xr:uid="{00000000-0005-0000-0000-000037060000}"/>
    <cellStyle name="Финансовый 9 2 2" xfId="1592" xr:uid="{00000000-0005-0000-0000-000038060000}"/>
    <cellStyle name="Финансовый 9 2 2 2" xfId="1593" xr:uid="{00000000-0005-0000-0000-000039060000}"/>
    <cellStyle name="Финансовый 9 3" xfId="1594" xr:uid="{00000000-0005-0000-0000-00003A060000}"/>
    <cellStyle name="Финансовый 9 4" xfId="1595" xr:uid="{00000000-0005-0000-0000-00003B060000}"/>
    <cellStyle name="Финансовый 9 5" xfId="1596" xr:uid="{00000000-0005-0000-0000-00003C060000}"/>
    <cellStyle name="Финансовый 9 5 2" xfId="1597" xr:uid="{00000000-0005-0000-0000-00003D060000}"/>
    <cellStyle name="Хвост" xfId="1598" xr:uid="{00000000-0005-0000-0000-00003E060000}"/>
    <cellStyle name="Хороший 10 2" xfId="1599" xr:uid="{00000000-0005-0000-0000-00003F060000}"/>
    <cellStyle name="Хороший 11" xfId="1600" xr:uid="{00000000-0005-0000-0000-000040060000}"/>
    <cellStyle name="Хороший 2" xfId="1601" xr:uid="{00000000-0005-0000-0000-000041060000}"/>
    <cellStyle name="Хороший 2 2" xfId="1602" xr:uid="{00000000-0005-0000-0000-000042060000}"/>
    <cellStyle name="Хороший 3 2" xfId="1603" xr:uid="{00000000-0005-0000-0000-000043060000}"/>
    <cellStyle name="Хороший 4 2" xfId="1604" xr:uid="{00000000-0005-0000-0000-000044060000}"/>
    <cellStyle name="Хороший 5 2" xfId="1605" xr:uid="{00000000-0005-0000-0000-000045060000}"/>
    <cellStyle name="Хороший 6 2" xfId="1606" xr:uid="{00000000-0005-0000-0000-000046060000}"/>
    <cellStyle name="Хороший 7 2" xfId="1607" xr:uid="{00000000-0005-0000-0000-000047060000}"/>
    <cellStyle name="Хороший 8 2" xfId="1608" xr:uid="{00000000-0005-0000-0000-000048060000}"/>
    <cellStyle name="Хороший 9 2" xfId="1609" xr:uid="{00000000-0005-0000-0000-000049060000}"/>
    <cellStyle name="Ценник" xfId="1610" xr:uid="{00000000-0005-0000-0000-00004A060000}"/>
    <cellStyle name="Ценник 2" xfId="1611" xr:uid="{00000000-0005-0000-0000-00004B060000}"/>
    <cellStyle name="Экспертиза" xfId="1612" xr:uid="{00000000-0005-0000-0000-00004C06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d-2008\Public\FS\&#1061;&#1086;&#1083;&#1076;&#1080;&#1085;&#1075;\&#1059;&#1050;\&#1060;&#1069;&#1057;\_&#1060;&#1069;&#1057;\&#1041;&#1080;&#1079;&#1085;&#1077;&#1089;-&#1087;&#1083;&#1072;&#1085;&#1099;\&#1043;&#1072;&#1079;&#1086;&#1073;&#1077;&#1090;&#1086;&#1085;\&#1042;&#1040;&#1056;&#1048;&#1040;&#1053;&#1058;&#1067;%20&#1041;&#1048;&#1047;&#1053;&#1045;&#1057;-&#1055;&#1051;&#1040;&#1053;&#1054;&#1042;%20&#1044;&#1051;&#1071;%20&#1048;&#1053;&#1042;&#1045;&#1057;&#1058;&#1054;&#1056;&#1054;&#1042;%20-%20&#1071;&#1053;&#1042;&#1040;&#1056;&#1068;%202009\&#1042;&#1072;&#1088;&#1080;&#1072;&#1085;&#1090;%20&#1043;&#1041;%20+%203%20&#1087;&#1088;&#1077;&#1089;&#1089;&#1072;\&#1042;&#1072;&#1088;&#1080;&#1072;&#1085;&#1090;%20&#1043;&#1041;%20+%203%20&#1087;&#1088;&#1077;&#1089;&#1089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исание"/>
      <sheetName val="Параметры"/>
      <sheetName val="ПП"/>
      <sheetName val="БП"/>
      <sheetName val="БП-год"/>
      <sheetName val="Рецептура"/>
      <sheetName val="Калькуляция"/>
      <sheetName val="ФОТ"/>
      <sheetName val="ШР"/>
      <sheetName val="ГСМ"/>
      <sheetName val="Эл-эн"/>
      <sheetName val="ЖД"/>
      <sheetName val="Налоги"/>
      <sheetName val="Кредиты"/>
      <sheetName val="ИБ"/>
      <sheetName val="АО"/>
      <sheetName val="БДР"/>
      <sheetName val="БДР-год"/>
      <sheetName val="CF"/>
      <sheetName val="Стоимость бизнеса"/>
      <sheetName val="Баланс"/>
      <sheetName val="БДДС"/>
      <sheetName val="Коэффициенты"/>
      <sheetName val="СД"/>
      <sheetName val="1"/>
      <sheetName val="2"/>
      <sheetName val="2.1"/>
      <sheetName val="2.2"/>
      <sheetName val="4.1"/>
      <sheetName val="5.1"/>
      <sheetName val="5.2"/>
      <sheetName val="8.1"/>
      <sheetName val="10.1"/>
      <sheetName val="10.2"/>
      <sheetName val="10.3"/>
      <sheetName val="10.4"/>
      <sheetName val="11.2"/>
      <sheetName val="11.3"/>
      <sheetName val="11.4"/>
      <sheetName val="11.5"/>
      <sheetName val="Р10.2"/>
      <sheetName val="Закл"/>
      <sheetName val="Расчет компенсаций"/>
    </sheetNames>
    <sheetDataSet>
      <sheetData sheetId="0"/>
      <sheetData sheetId="1" refreshError="1">
        <row r="4">
          <cell r="B4">
            <v>0.8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4BA02-AB11-48C6-B48D-6D8AE2182B90}">
  <sheetPr filterMode="1">
    <tabColor rgb="FF92D050"/>
    <outlinePr summaryBelow="0"/>
    <pageSetUpPr fitToPage="1"/>
  </sheetPr>
  <dimension ref="A1:AD759"/>
  <sheetViews>
    <sheetView tabSelected="1" view="pageBreakPreview" zoomScaleNormal="10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19" sqref="F19"/>
    </sheetView>
  </sheetViews>
  <sheetFormatPr defaultColWidth="9.140625" defaultRowHeight="15" outlineLevelCol="1" x14ac:dyDescent="0.2"/>
  <cols>
    <col min="1" max="1" width="7.7109375" style="13" customWidth="1"/>
    <col min="2" max="2" width="7" style="5" customWidth="1"/>
    <col min="3" max="3" width="18.85546875" style="5" customWidth="1"/>
    <col min="4" max="4" width="27.5703125" style="13" customWidth="1"/>
    <col min="5" max="5" width="68.28515625" style="5" customWidth="1"/>
    <col min="6" max="6" width="19.5703125" style="8" customWidth="1"/>
    <col min="7" max="7" width="12.140625" style="1" customWidth="1"/>
    <col min="8" max="8" width="14.85546875" style="1" customWidth="1"/>
    <col min="9" max="9" width="15.140625" style="15" hidden="1" customWidth="1"/>
    <col min="10" max="10" width="17.85546875" style="1" hidden="1" customWidth="1"/>
    <col min="11" max="11" width="14" style="1" hidden="1" customWidth="1"/>
    <col min="12" max="12" width="15.28515625" style="4" hidden="1" customWidth="1"/>
    <col min="13" max="13" width="14.7109375" style="4" hidden="1" customWidth="1" outlineLevel="1"/>
    <col min="14" max="14" width="15.28515625" style="4" hidden="1" customWidth="1" outlineLevel="1"/>
    <col min="15" max="15" width="14" style="1" hidden="1" customWidth="1" outlineLevel="1"/>
    <col min="16" max="16" width="15.28515625" style="4" hidden="1" customWidth="1" outlineLevel="1"/>
    <col min="17" max="17" width="14.7109375" style="4" hidden="1" customWidth="1" outlineLevel="1"/>
    <col min="18" max="18" width="15.28515625" style="4" hidden="1" customWidth="1" outlineLevel="1"/>
    <col min="19" max="19" width="16" style="6" hidden="1" customWidth="1" collapsed="1"/>
    <col min="20" max="20" width="18.85546875" style="14" hidden="1" customWidth="1"/>
    <col min="21" max="21" width="14.42578125" style="6" hidden="1" customWidth="1"/>
    <col min="22" max="22" width="17" style="14" hidden="1" customWidth="1"/>
    <col min="23" max="23" width="34.5703125" style="6" hidden="1" customWidth="1"/>
    <col min="24" max="24" width="12.140625" style="6" customWidth="1"/>
    <col min="25" max="25" width="9.140625" style="6"/>
    <col min="26" max="26" width="12" style="6" customWidth="1"/>
    <col min="27" max="16384" width="9.140625" style="6"/>
  </cols>
  <sheetData>
    <row r="1" spans="1:29" ht="18.75" customHeight="1" thickBot="1" x14ac:dyDescent="0.25">
      <c r="B1" s="131" t="s">
        <v>65</v>
      </c>
      <c r="C1" s="131"/>
      <c r="D1" s="131"/>
      <c r="E1" s="131"/>
      <c r="F1" s="131"/>
      <c r="G1" s="131"/>
      <c r="H1" s="131"/>
      <c r="I1" s="131"/>
      <c r="J1" s="131"/>
      <c r="K1" s="7"/>
      <c r="L1" s="6"/>
      <c r="M1" s="6"/>
      <c r="N1" s="6"/>
      <c r="O1" s="7"/>
      <c r="P1" s="6"/>
      <c r="Q1" s="6"/>
      <c r="R1" s="6"/>
    </row>
    <row r="2" spans="1:29" s="9" customFormat="1" ht="43.5" customHeight="1" thickBot="1" x14ac:dyDescent="0.25">
      <c r="A2" s="13"/>
      <c r="B2" s="132" t="s">
        <v>10</v>
      </c>
      <c r="C2" s="132" t="s">
        <v>513</v>
      </c>
      <c r="D2" s="132" t="s">
        <v>13</v>
      </c>
      <c r="E2" s="132" t="s">
        <v>1</v>
      </c>
      <c r="F2" s="132" t="s">
        <v>16</v>
      </c>
      <c r="G2" s="132" t="s">
        <v>2</v>
      </c>
      <c r="H2" s="133" t="s">
        <v>64</v>
      </c>
      <c r="I2" s="133"/>
      <c r="J2" s="133"/>
      <c r="K2" s="128" t="s">
        <v>3</v>
      </c>
      <c r="L2" s="128"/>
      <c r="M2" s="129" t="s">
        <v>3</v>
      </c>
      <c r="N2" s="130"/>
      <c r="O2" s="129" t="s">
        <v>3</v>
      </c>
      <c r="P2" s="128"/>
      <c r="Q2" s="129" t="s">
        <v>3</v>
      </c>
      <c r="R2" s="130"/>
      <c r="S2" s="121" t="s">
        <v>4</v>
      </c>
      <c r="T2" s="122"/>
      <c r="U2" s="121" t="s">
        <v>5</v>
      </c>
      <c r="V2" s="122"/>
    </row>
    <row r="3" spans="1:29" s="9" customFormat="1" ht="29.25" customHeight="1" x14ac:dyDescent="0.2">
      <c r="A3" s="13"/>
      <c r="B3" s="132"/>
      <c r="C3" s="132"/>
      <c r="D3" s="132"/>
      <c r="E3" s="132"/>
      <c r="F3" s="132"/>
      <c r="G3" s="132"/>
      <c r="H3" s="134" t="s">
        <v>0</v>
      </c>
      <c r="I3" s="134" t="s">
        <v>11</v>
      </c>
      <c r="J3" s="123" t="s">
        <v>12</v>
      </c>
      <c r="K3" s="124" t="s">
        <v>17</v>
      </c>
      <c r="L3" s="125"/>
      <c r="M3" s="126" t="s">
        <v>17</v>
      </c>
      <c r="N3" s="127"/>
      <c r="O3" s="126" t="s">
        <v>17</v>
      </c>
      <c r="P3" s="127"/>
      <c r="Q3" s="126" t="s">
        <v>17</v>
      </c>
      <c r="R3" s="127"/>
      <c r="S3" s="117" t="s">
        <v>6</v>
      </c>
      <c r="T3" s="115" t="s">
        <v>15</v>
      </c>
      <c r="U3" s="117" t="s">
        <v>0</v>
      </c>
      <c r="V3" s="119" t="s">
        <v>63</v>
      </c>
    </row>
    <row r="4" spans="1:29" s="9" customFormat="1" ht="21.75" customHeight="1" x14ac:dyDescent="0.2">
      <c r="A4" s="13"/>
      <c r="B4" s="132"/>
      <c r="C4" s="132"/>
      <c r="D4" s="132"/>
      <c r="E4" s="132"/>
      <c r="F4" s="132"/>
      <c r="G4" s="132"/>
      <c r="H4" s="134"/>
      <c r="I4" s="134"/>
      <c r="J4" s="123"/>
      <c r="K4" s="30" t="s">
        <v>0</v>
      </c>
      <c r="L4" s="11" t="s">
        <v>7</v>
      </c>
      <c r="M4" s="12" t="s">
        <v>0</v>
      </c>
      <c r="N4" s="16" t="s">
        <v>7</v>
      </c>
      <c r="O4" s="10" t="s">
        <v>0</v>
      </c>
      <c r="P4" s="11" t="s">
        <v>7</v>
      </c>
      <c r="Q4" s="12" t="s">
        <v>0</v>
      </c>
      <c r="R4" s="16" t="s">
        <v>7</v>
      </c>
      <c r="S4" s="118"/>
      <c r="T4" s="116"/>
      <c r="U4" s="118"/>
      <c r="V4" s="120"/>
    </row>
    <row r="5" spans="1:29" s="9" customFormat="1" ht="15.75" thickBot="1" x14ac:dyDescent="0.25">
      <c r="A5" s="13"/>
      <c r="B5" s="35">
        <v>1</v>
      </c>
      <c r="C5" s="35">
        <v>2</v>
      </c>
      <c r="D5" s="35">
        <v>3</v>
      </c>
      <c r="E5" s="35">
        <v>4</v>
      </c>
      <c r="F5" s="35">
        <v>5</v>
      </c>
      <c r="G5" s="35">
        <v>6</v>
      </c>
      <c r="H5" s="35">
        <v>7</v>
      </c>
      <c r="I5" s="35">
        <v>8</v>
      </c>
      <c r="J5" s="35">
        <v>9</v>
      </c>
      <c r="K5" s="31">
        <v>10</v>
      </c>
      <c r="L5" s="2">
        <v>11</v>
      </c>
      <c r="M5" s="3">
        <v>12</v>
      </c>
      <c r="N5" s="2">
        <v>13</v>
      </c>
      <c r="O5" s="3">
        <v>14</v>
      </c>
      <c r="P5" s="2">
        <v>15</v>
      </c>
      <c r="Q5" s="3">
        <v>16</v>
      </c>
      <c r="R5" s="2">
        <v>17</v>
      </c>
      <c r="S5" s="3">
        <v>18</v>
      </c>
      <c r="T5" s="2">
        <v>19</v>
      </c>
      <c r="U5" s="3">
        <v>20</v>
      </c>
      <c r="V5" s="2">
        <v>21</v>
      </c>
    </row>
    <row r="6" spans="1:29" s="64" customFormat="1" ht="28.5" customHeight="1" x14ac:dyDescent="0.2">
      <c r="A6" s="50" t="s">
        <v>14</v>
      </c>
      <c r="B6" s="65" t="s">
        <v>134</v>
      </c>
      <c r="C6" s="51" t="s">
        <v>36</v>
      </c>
      <c r="D6" s="52"/>
      <c r="E6" s="53" t="s">
        <v>227</v>
      </c>
      <c r="F6" s="54"/>
      <c r="G6" s="52"/>
      <c r="H6" s="55"/>
      <c r="I6" s="56"/>
      <c r="J6" s="55"/>
      <c r="K6" s="57"/>
      <c r="L6" s="58"/>
      <c r="M6" s="59"/>
      <c r="N6" s="60"/>
      <c r="O6" s="61"/>
      <c r="P6" s="58"/>
      <c r="Q6" s="59"/>
      <c r="R6" s="60"/>
      <c r="S6" s="59"/>
      <c r="T6" s="62"/>
      <c r="U6" s="63"/>
      <c r="V6" s="62"/>
    </row>
    <row r="7" spans="1:29" s="85" customFormat="1" ht="28.5" customHeight="1" x14ac:dyDescent="0.2">
      <c r="A7" s="70" t="s">
        <v>14</v>
      </c>
      <c r="B7" s="71">
        <v>1</v>
      </c>
      <c r="C7" s="72" t="s">
        <v>36</v>
      </c>
      <c r="D7" s="75" t="s">
        <v>194</v>
      </c>
      <c r="E7" s="74" t="s">
        <v>228</v>
      </c>
      <c r="F7" s="75"/>
      <c r="G7" s="73"/>
      <c r="H7" s="76"/>
      <c r="I7" s="77"/>
      <c r="J7" s="76"/>
      <c r="K7" s="78"/>
      <c r="L7" s="79"/>
      <c r="M7" s="80"/>
      <c r="N7" s="81"/>
      <c r="O7" s="82"/>
      <c r="P7" s="79"/>
      <c r="Q7" s="80"/>
      <c r="R7" s="81"/>
      <c r="S7" s="80"/>
      <c r="T7" s="83"/>
      <c r="U7" s="84"/>
      <c r="V7" s="83"/>
    </row>
    <row r="8" spans="1:29" s="69" customFormat="1" ht="28.5" customHeight="1" x14ac:dyDescent="0.2">
      <c r="A8" s="66" t="s">
        <v>8</v>
      </c>
      <c r="B8" s="33" t="s">
        <v>94</v>
      </c>
      <c r="C8" s="23" t="s">
        <v>36</v>
      </c>
      <c r="D8" s="23" t="s">
        <v>194</v>
      </c>
      <c r="E8" s="24" t="s">
        <v>351</v>
      </c>
      <c r="F8" s="36"/>
      <c r="G8" s="37" t="s">
        <v>128</v>
      </c>
      <c r="H8" s="38">
        <f>(0.38*0.38*0.23)*4</f>
        <v>0.13284799999999999</v>
      </c>
      <c r="I8" s="25"/>
      <c r="J8" s="34"/>
      <c r="K8" s="32"/>
      <c r="L8" s="26"/>
      <c r="M8" s="67"/>
      <c r="N8" s="28"/>
      <c r="O8" s="67"/>
      <c r="P8" s="26"/>
      <c r="Q8" s="67"/>
      <c r="R8" s="28"/>
      <c r="S8" s="27"/>
      <c r="T8" s="28"/>
      <c r="U8" s="27"/>
      <c r="V8" s="28"/>
      <c r="W8" s="68"/>
      <c r="X8" s="88"/>
      <c r="Y8" s="88"/>
      <c r="Z8" s="88"/>
      <c r="AA8" s="88"/>
      <c r="AB8" s="88"/>
      <c r="AC8" s="88"/>
    </row>
    <row r="9" spans="1:29" ht="28.5" hidden="1" customHeight="1" x14ac:dyDescent="0.2">
      <c r="A9" s="13" t="s">
        <v>9</v>
      </c>
      <c r="B9" s="39"/>
      <c r="C9" s="93" t="s">
        <v>36</v>
      </c>
      <c r="D9" s="40" t="s">
        <v>194</v>
      </c>
      <c r="E9" s="41" t="s">
        <v>104</v>
      </c>
      <c r="F9" s="40"/>
      <c r="G9" s="42" t="s">
        <v>105</v>
      </c>
      <c r="H9" s="43">
        <f>(4.3*0.888)*4*1.04</f>
        <v>15.884544</v>
      </c>
      <c r="I9" s="44"/>
      <c r="J9" s="45"/>
      <c r="K9" s="46"/>
      <c r="L9" s="17"/>
      <c r="M9" s="47"/>
      <c r="N9" s="18"/>
      <c r="O9" s="47"/>
      <c r="P9" s="17"/>
      <c r="Q9" s="47"/>
      <c r="R9" s="18"/>
      <c r="S9" s="48"/>
      <c r="T9" s="49"/>
      <c r="U9" s="48"/>
      <c r="V9" s="49"/>
      <c r="W9" s="29"/>
      <c r="X9" s="89" t="s">
        <v>126</v>
      </c>
      <c r="Y9" s="8"/>
      <c r="Z9" s="8"/>
      <c r="AA9" s="8"/>
      <c r="AB9" s="8"/>
      <c r="AC9" s="8"/>
    </row>
    <row r="10" spans="1:29" ht="28.5" hidden="1" customHeight="1" x14ac:dyDescent="0.2">
      <c r="A10" s="13" t="s">
        <v>9</v>
      </c>
      <c r="B10" s="39"/>
      <c r="C10" s="93" t="s">
        <v>36</v>
      </c>
      <c r="D10" s="40" t="s">
        <v>194</v>
      </c>
      <c r="E10" s="41" t="s">
        <v>106</v>
      </c>
      <c r="F10" s="40"/>
      <c r="G10" s="42" t="s">
        <v>69</v>
      </c>
      <c r="H10" s="43">
        <f>4</f>
        <v>4</v>
      </c>
      <c r="I10" s="44"/>
      <c r="J10" s="45"/>
      <c r="K10" s="46"/>
      <c r="L10" s="17"/>
      <c r="M10" s="47"/>
      <c r="N10" s="18"/>
      <c r="O10" s="47"/>
      <c r="P10" s="17"/>
      <c r="Q10" s="47"/>
      <c r="R10" s="18"/>
      <c r="S10" s="48"/>
      <c r="T10" s="49"/>
      <c r="U10" s="48"/>
      <c r="V10" s="49"/>
      <c r="W10" s="29"/>
      <c r="X10" s="8"/>
      <c r="Y10" s="8"/>
      <c r="Z10" s="8"/>
      <c r="AA10" s="8"/>
      <c r="AB10" s="8"/>
      <c r="AC10" s="8"/>
    </row>
    <row r="11" spans="1:29" ht="28.5" hidden="1" customHeight="1" x14ac:dyDescent="0.2">
      <c r="A11" s="13" t="s">
        <v>9</v>
      </c>
      <c r="B11" s="39"/>
      <c r="C11" s="93" t="s">
        <v>36</v>
      </c>
      <c r="D11" s="40" t="s">
        <v>194</v>
      </c>
      <c r="E11" s="41" t="s">
        <v>108</v>
      </c>
      <c r="F11" s="40"/>
      <c r="G11" s="42" t="s">
        <v>107</v>
      </c>
      <c r="H11" s="43">
        <f>H8*1.05</f>
        <v>0.13949039999999999</v>
      </c>
      <c r="I11" s="44"/>
      <c r="J11" s="45"/>
      <c r="K11" s="46"/>
      <c r="L11" s="17"/>
      <c r="M11" s="47"/>
      <c r="N11" s="18"/>
      <c r="O11" s="47"/>
      <c r="P11" s="17"/>
      <c r="Q11" s="47"/>
      <c r="R11" s="18"/>
      <c r="S11" s="48"/>
      <c r="T11" s="49"/>
      <c r="U11" s="48"/>
      <c r="V11" s="49"/>
      <c r="W11" s="29"/>
      <c r="X11" s="92" t="s">
        <v>125</v>
      </c>
      <c r="Y11" s="8"/>
      <c r="Z11" s="8"/>
      <c r="AA11" s="8"/>
      <c r="AB11" s="8"/>
      <c r="AC11" s="8"/>
    </row>
    <row r="12" spans="1:29" s="69" customFormat="1" ht="28.5" customHeight="1" x14ac:dyDescent="0.2">
      <c r="A12" s="66" t="s">
        <v>8</v>
      </c>
      <c r="B12" s="33" t="s">
        <v>95</v>
      </c>
      <c r="C12" s="23" t="s">
        <v>36</v>
      </c>
      <c r="D12" s="23" t="s">
        <v>194</v>
      </c>
      <c r="E12" s="24" t="s">
        <v>352</v>
      </c>
      <c r="F12" s="36"/>
      <c r="G12" s="37" t="s">
        <v>110</v>
      </c>
      <c r="H12" s="38">
        <f>(H13+H14+H15+H16+H17)/1000</f>
        <v>1.1110661499999999</v>
      </c>
      <c r="I12" s="25"/>
      <c r="J12" s="34"/>
      <c r="K12" s="32"/>
      <c r="L12" s="26"/>
      <c r="M12" s="67"/>
      <c r="N12" s="28"/>
      <c r="O12" s="67"/>
      <c r="P12" s="26"/>
      <c r="Q12" s="67"/>
      <c r="R12" s="28"/>
      <c r="S12" s="27"/>
      <c r="T12" s="28"/>
      <c r="U12" s="27"/>
      <c r="V12" s="28"/>
      <c r="W12" s="68"/>
      <c r="X12" s="88"/>
      <c r="Y12" s="88"/>
      <c r="Z12" s="88"/>
      <c r="AA12" s="88"/>
      <c r="AB12" s="88"/>
      <c r="AC12" s="88"/>
    </row>
    <row r="13" spans="1:29" ht="28.5" hidden="1" customHeight="1" x14ac:dyDescent="0.2">
      <c r="A13" s="13" t="s">
        <v>9</v>
      </c>
      <c r="B13" s="39"/>
      <c r="C13" s="93" t="s">
        <v>36</v>
      </c>
      <c r="D13" s="40" t="s">
        <v>194</v>
      </c>
      <c r="E13" s="41" t="s">
        <v>109</v>
      </c>
      <c r="F13" s="40"/>
      <c r="G13" s="42" t="s">
        <v>105</v>
      </c>
      <c r="H13" s="43">
        <f>18.95*49.9*1.03</f>
        <v>973.97314999999992</v>
      </c>
      <c r="I13" s="44"/>
      <c r="J13" s="45"/>
      <c r="K13" s="46"/>
      <c r="L13" s="17"/>
      <c r="M13" s="47"/>
      <c r="N13" s="18"/>
      <c r="O13" s="47"/>
      <c r="P13" s="17"/>
      <c r="Q13" s="47"/>
      <c r="R13" s="18"/>
      <c r="S13" s="48"/>
      <c r="T13" s="49"/>
      <c r="U13" s="48"/>
      <c r="V13" s="49"/>
      <c r="W13" s="29"/>
      <c r="X13" s="89" t="s">
        <v>127</v>
      </c>
      <c r="Y13" s="8"/>
      <c r="Z13" s="8"/>
      <c r="AA13" s="8"/>
      <c r="AB13" s="8"/>
      <c r="AC13" s="8"/>
    </row>
    <row r="14" spans="1:29" ht="28.5" hidden="1" customHeight="1" x14ac:dyDescent="0.2">
      <c r="A14" s="13" t="s">
        <v>9</v>
      </c>
      <c r="B14" s="39"/>
      <c r="C14" s="93" t="s">
        <v>36</v>
      </c>
      <c r="D14" s="40" t="s">
        <v>194</v>
      </c>
      <c r="E14" s="41" t="s">
        <v>111</v>
      </c>
      <c r="F14" s="40"/>
      <c r="G14" s="42" t="s">
        <v>105</v>
      </c>
      <c r="H14" s="43">
        <f>4*2.2*1.03</f>
        <v>9.0640000000000018</v>
      </c>
      <c r="I14" s="44"/>
      <c r="J14" s="45"/>
      <c r="K14" s="46"/>
      <c r="L14" s="17"/>
      <c r="M14" s="47"/>
      <c r="N14" s="18"/>
      <c r="O14" s="47"/>
      <c r="P14" s="17"/>
      <c r="Q14" s="47"/>
      <c r="R14" s="18"/>
      <c r="S14" s="48"/>
      <c r="T14" s="49"/>
      <c r="U14" s="48"/>
      <c r="V14" s="49"/>
      <c r="W14" s="29"/>
      <c r="X14" s="89" t="s">
        <v>127</v>
      </c>
      <c r="Y14" s="8"/>
      <c r="Z14" s="8"/>
      <c r="AA14" s="8"/>
      <c r="AB14" s="8"/>
      <c r="AC14" s="8"/>
    </row>
    <row r="15" spans="1:29" ht="28.5" hidden="1" customHeight="1" x14ac:dyDescent="0.2">
      <c r="A15" s="13" t="s">
        <v>9</v>
      </c>
      <c r="B15" s="39"/>
      <c r="C15" s="93" t="s">
        <v>36</v>
      </c>
      <c r="D15" s="40" t="s">
        <v>194</v>
      </c>
      <c r="E15" s="41" t="s">
        <v>112</v>
      </c>
      <c r="F15" s="40"/>
      <c r="G15" s="42" t="s">
        <v>105</v>
      </c>
      <c r="H15" s="43">
        <f>12*1.06*1.03</f>
        <v>13.101600000000001</v>
      </c>
      <c r="I15" s="44"/>
      <c r="J15" s="45"/>
      <c r="K15" s="46"/>
      <c r="L15" s="17"/>
      <c r="M15" s="47"/>
      <c r="N15" s="18"/>
      <c r="O15" s="47"/>
      <c r="P15" s="17"/>
      <c r="Q15" s="47"/>
      <c r="R15" s="18"/>
      <c r="S15" s="48"/>
      <c r="T15" s="49"/>
      <c r="U15" s="48"/>
      <c r="V15" s="49"/>
      <c r="W15" s="29"/>
      <c r="X15" s="89" t="s">
        <v>127</v>
      </c>
      <c r="Y15" s="8"/>
      <c r="Z15" s="8"/>
      <c r="AA15" s="8"/>
      <c r="AB15" s="8"/>
      <c r="AC15" s="8"/>
    </row>
    <row r="16" spans="1:29" ht="28.5" hidden="1" customHeight="1" x14ac:dyDescent="0.2">
      <c r="A16" s="13" t="s">
        <v>9</v>
      </c>
      <c r="B16" s="39"/>
      <c r="C16" s="93" t="s">
        <v>36</v>
      </c>
      <c r="D16" s="40" t="s">
        <v>194</v>
      </c>
      <c r="E16" s="41" t="s">
        <v>114</v>
      </c>
      <c r="F16" s="40"/>
      <c r="G16" s="42" t="s">
        <v>105</v>
      </c>
      <c r="H16" s="43">
        <f>1*23.83*1.03</f>
        <v>24.544899999999998</v>
      </c>
      <c r="I16" s="44"/>
      <c r="J16" s="45"/>
      <c r="K16" s="46"/>
      <c r="L16" s="17"/>
      <c r="M16" s="47"/>
      <c r="N16" s="18"/>
      <c r="O16" s="47"/>
      <c r="P16" s="17"/>
      <c r="Q16" s="47"/>
      <c r="R16" s="18"/>
      <c r="S16" s="48"/>
      <c r="T16" s="49"/>
      <c r="U16" s="48"/>
      <c r="V16" s="49"/>
      <c r="W16" s="29"/>
      <c r="X16" s="89" t="s">
        <v>127</v>
      </c>
      <c r="Y16" s="8"/>
      <c r="Z16" s="8"/>
      <c r="AA16" s="8"/>
      <c r="AB16" s="8"/>
      <c r="AC16" s="8"/>
    </row>
    <row r="17" spans="1:29" ht="28.5" hidden="1" customHeight="1" x14ac:dyDescent="0.2">
      <c r="A17" s="13" t="s">
        <v>9</v>
      </c>
      <c r="B17" s="39"/>
      <c r="C17" s="93" t="s">
        <v>36</v>
      </c>
      <c r="D17" s="40" t="s">
        <v>194</v>
      </c>
      <c r="E17" s="41" t="s">
        <v>115</v>
      </c>
      <c r="F17" s="40"/>
      <c r="G17" s="42" t="s">
        <v>105</v>
      </c>
      <c r="H17" s="43">
        <f>5*17.55*1.03</f>
        <v>90.382500000000007</v>
      </c>
      <c r="I17" s="44"/>
      <c r="J17" s="45"/>
      <c r="K17" s="46"/>
      <c r="L17" s="17"/>
      <c r="M17" s="47"/>
      <c r="N17" s="18"/>
      <c r="O17" s="47"/>
      <c r="P17" s="17"/>
      <c r="Q17" s="47"/>
      <c r="R17" s="18"/>
      <c r="S17" s="48"/>
      <c r="T17" s="49"/>
      <c r="U17" s="48"/>
      <c r="V17" s="49"/>
      <c r="W17" s="29"/>
      <c r="X17" s="89" t="s">
        <v>127</v>
      </c>
      <c r="Y17" s="8"/>
      <c r="Z17" s="8"/>
      <c r="AA17" s="8"/>
      <c r="AB17" s="8"/>
      <c r="AC17" s="8"/>
    </row>
    <row r="18" spans="1:29" ht="28.5" hidden="1" customHeight="1" x14ac:dyDescent="0.2">
      <c r="A18" s="13" t="s">
        <v>9</v>
      </c>
      <c r="B18" s="39"/>
      <c r="C18" s="93" t="s">
        <v>36</v>
      </c>
      <c r="D18" s="40" t="s">
        <v>194</v>
      </c>
      <c r="E18" s="41" t="s">
        <v>124</v>
      </c>
      <c r="F18" s="40"/>
      <c r="G18" s="42" t="s">
        <v>69</v>
      </c>
      <c r="H18" s="43">
        <v>12</v>
      </c>
      <c r="I18" s="44"/>
      <c r="J18" s="45"/>
      <c r="K18" s="46"/>
      <c r="L18" s="17"/>
      <c r="M18" s="47"/>
      <c r="N18" s="18"/>
      <c r="O18" s="47"/>
      <c r="P18" s="17"/>
      <c r="Q18" s="47"/>
      <c r="R18" s="18"/>
      <c r="S18" s="48"/>
      <c r="T18" s="49"/>
      <c r="U18" s="48"/>
      <c r="V18" s="49"/>
      <c r="W18" s="29"/>
      <c r="X18" s="8"/>
      <c r="Y18" s="8"/>
      <c r="Z18" s="8"/>
      <c r="AA18" s="8"/>
      <c r="AB18" s="8"/>
      <c r="AC18" s="8"/>
    </row>
    <row r="19" spans="1:29" s="69" customFormat="1" ht="28.5" customHeight="1" x14ac:dyDescent="0.2">
      <c r="A19" s="66" t="s">
        <v>8</v>
      </c>
      <c r="B19" s="33" t="s">
        <v>117</v>
      </c>
      <c r="C19" s="23" t="s">
        <v>36</v>
      </c>
      <c r="D19" s="23" t="s">
        <v>194</v>
      </c>
      <c r="E19" s="24" t="s">
        <v>354</v>
      </c>
      <c r="F19" s="36"/>
      <c r="G19" s="37" t="s">
        <v>119</v>
      </c>
      <c r="H19" s="38">
        <f>9.5</f>
        <v>9.5</v>
      </c>
      <c r="I19" s="25"/>
      <c r="J19" s="34"/>
      <c r="K19" s="32"/>
      <c r="L19" s="26"/>
      <c r="M19" s="67"/>
      <c r="N19" s="28"/>
      <c r="O19" s="67"/>
      <c r="P19" s="26"/>
      <c r="Q19" s="67"/>
      <c r="R19" s="28"/>
      <c r="S19" s="27"/>
      <c r="T19" s="28"/>
      <c r="U19" s="27"/>
      <c r="V19" s="28"/>
      <c r="W19" s="68"/>
      <c r="X19" s="88"/>
      <c r="Y19" s="88"/>
      <c r="Z19" s="88"/>
      <c r="AA19" s="88"/>
      <c r="AB19" s="88"/>
      <c r="AC19" s="88"/>
    </row>
    <row r="20" spans="1:29" ht="28.5" hidden="1" customHeight="1" x14ac:dyDescent="0.2">
      <c r="A20" s="13" t="s">
        <v>9</v>
      </c>
      <c r="B20" s="39"/>
      <c r="C20" s="93" t="s">
        <v>36</v>
      </c>
      <c r="D20" s="40" t="s">
        <v>194</v>
      </c>
      <c r="E20" s="41" t="s">
        <v>116</v>
      </c>
      <c r="F20" s="40"/>
      <c r="G20" s="42" t="s">
        <v>113</v>
      </c>
      <c r="H20" s="43">
        <f>H19*2*1.12</f>
        <v>21.28</v>
      </c>
      <c r="I20" s="44"/>
      <c r="J20" s="45"/>
      <c r="K20" s="46"/>
      <c r="L20" s="17"/>
      <c r="M20" s="47"/>
      <c r="N20" s="18"/>
      <c r="O20" s="47"/>
      <c r="P20" s="17"/>
      <c r="Q20" s="47"/>
      <c r="R20" s="18"/>
      <c r="S20" s="48"/>
      <c r="T20" s="49"/>
      <c r="U20" s="48"/>
      <c r="V20" s="49"/>
      <c r="W20" s="29"/>
      <c r="X20" s="89" t="s">
        <v>187</v>
      </c>
      <c r="Y20" s="8"/>
      <c r="Z20" s="8"/>
      <c r="AA20" s="8"/>
      <c r="AB20" s="8"/>
      <c r="AC20" s="8"/>
    </row>
    <row r="21" spans="1:29" s="69" customFormat="1" ht="28.5" customHeight="1" x14ac:dyDescent="0.2">
      <c r="A21" s="66" t="s">
        <v>8</v>
      </c>
      <c r="B21" s="33" t="s">
        <v>353</v>
      </c>
      <c r="C21" s="23" t="s">
        <v>36</v>
      </c>
      <c r="D21" s="23" t="s">
        <v>194</v>
      </c>
      <c r="E21" s="24" t="s">
        <v>120</v>
      </c>
      <c r="F21" s="36"/>
      <c r="G21" s="37" t="s">
        <v>119</v>
      </c>
      <c r="H21" s="38">
        <f>H12*30</f>
        <v>33.331984499999997</v>
      </c>
      <c r="I21" s="25"/>
      <c r="J21" s="34"/>
      <c r="K21" s="32"/>
      <c r="L21" s="26"/>
      <c r="M21" s="67"/>
      <c r="N21" s="28"/>
      <c r="O21" s="67"/>
      <c r="P21" s="26"/>
      <c r="Q21" s="67"/>
      <c r="R21" s="28"/>
      <c r="S21" s="27"/>
      <c r="T21" s="28"/>
      <c r="U21" s="27"/>
      <c r="V21" s="28"/>
      <c r="W21" s="68"/>
      <c r="X21" s="88"/>
      <c r="Y21" s="88"/>
      <c r="Z21" s="88"/>
      <c r="AA21" s="88"/>
      <c r="AB21" s="88"/>
      <c r="AC21" s="88"/>
    </row>
    <row r="22" spans="1:29" ht="28.5" hidden="1" customHeight="1" x14ac:dyDescent="0.2">
      <c r="A22" s="13" t="s">
        <v>9</v>
      </c>
      <c r="B22" s="39"/>
      <c r="C22" s="93" t="s">
        <v>36</v>
      </c>
      <c r="D22" s="40" t="s">
        <v>194</v>
      </c>
      <c r="E22" s="41" t="s">
        <v>118</v>
      </c>
      <c r="F22" s="40"/>
      <c r="G22" s="42" t="s">
        <v>105</v>
      </c>
      <c r="H22" s="43">
        <f>H21*0.08*1.13</f>
        <v>3.0132113987999998</v>
      </c>
      <c r="I22" s="44"/>
      <c r="J22" s="45"/>
      <c r="K22" s="46"/>
      <c r="L22" s="17"/>
      <c r="M22" s="47"/>
      <c r="N22" s="18"/>
      <c r="O22" s="47"/>
      <c r="P22" s="17"/>
      <c r="Q22" s="47"/>
      <c r="R22" s="18"/>
      <c r="S22" s="48"/>
      <c r="T22" s="49"/>
      <c r="U22" s="48"/>
      <c r="V22" s="49"/>
      <c r="W22" s="29"/>
      <c r="X22" s="89" t="s">
        <v>122</v>
      </c>
      <c r="Y22" s="8"/>
      <c r="Z22" s="8"/>
      <c r="AA22" s="8"/>
      <c r="AB22" s="8"/>
      <c r="AC22" s="8"/>
    </row>
    <row r="23" spans="1:29" ht="28.5" hidden="1" customHeight="1" x14ac:dyDescent="0.2">
      <c r="A23" s="13" t="s">
        <v>9</v>
      </c>
      <c r="B23" s="39"/>
      <c r="C23" s="93" t="s">
        <v>36</v>
      </c>
      <c r="D23" s="40" t="s">
        <v>194</v>
      </c>
      <c r="E23" s="41" t="s">
        <v>121</v>
      </c>
      <c r="F23" s="40"/>
      <c r="G23" s="42" t="s">
        <v>105</v>
      </c>
      <c r="H23" s="43">
        <f>H21*0.14*2*1.13</f>
        <v>10.546239895799999</v>
      </c>
      <c r="I23" s="44"/>
      <c r="J23" s="45"/>
      <c r="K23" s="46"/>
      <c r="L23" s="17"/>
      <c r="M23" s="47"/>
      <c r="N23" s="18"/>
      <c r="O23" s="47"/>
      <c r="P23" s="17"/>
      <c r="Q23" s="47"/>
      <c r="R23" s="18"/>
      <c r="S23" s="48"/>
      <c r="T23" s="49"/>
      <c r="U23" s="48"/>
      <c r="V23" s="49"/>
      <c r="W23" s="29"/>
      <c r="X23" s="89" t="s">
        <v>123</v>
      </c>
      <c r="Y23" s="8"/>
      <c r="Z23" s="8"/>
      <c r="AA23" s="8"/>
      <c r="AB23" s="8"/>
      <c r="AC23" s="8"/>
    </row>
    <row r="24" spans="1:29" s="85" customFormat="1" ht="28.5" customHeight="1" x14ac:dyDescent="0.2">
      <c r="A24" s="70" t="s">
        <v>14</v>
      </c>
      <c r="B24" s="71">
        <v>2</v>
      </c>
      <c r="C24" s="72" t="s">
        <v>36</v>
      </c>
      <c r="D24" s="75" t="s">
        <v>194</v>
      </c>
      <c r="E24" s="74" t="s">
        <v>229</v>
      </c>
      <c r="F24" s="75"/>
      <c r="G24" s="73"/>
      <c r="H24" s="76"/>
      <c r="I24" s="77"/>
      <c r="J24" s="76"/>
      <c r="K24" s="78"/>
      <c r="L24" s="79"/>
      <c r="M24" s="80"/>
      <c r="N24" s="81"/>
      <c r="O24" s="82"/>
      <c r="P24" s="79"/>
      <c r="Q24" s="80"/>
      <c r="R24" s="81"/>
      <c r="S24" s="80"/>
      <c r="T24" s="83"/>
      <c r="U24" s="84"/>
      <c r="V24" s="83"/>
    </row>
    <row r="25" spans="1:29" s="69" customFormat="1" ht="28.5" customHeight="1" x14ac:dyDescent="0.2">
      <c r="A25" s="66" t="s">
        <v>8</v>
      </c>
      <c r="B25" s="33" t="s">
        <v>96</v>
      </c>
      <c r="C25" s="23" t="s">
        <v>36</v>
      </c>
      <c r="D25" s="23" t="s">
        <v>194</v>
      </c>
      <c r="E25" s="24" t="s">
        <v>351</v>
      </c>
      <c r="F25" s="36"/>
      <c r="G25" s="37" t="s">
        <v>128</v>
      </c>
      <c r="H25" s="38">
        <f>(0.38*0.38*0.23)*16</f>
        <v>0.53139199999999998</v>
      </c>
      <c r="I25" s="25"/>
      <c r="J25" s="34"/>
      <c r="K25" s="32"/>
      <c r="L25" s="26"/>
      <c r="M25" s="67"/>
      <c r="N25" s="28"/>
      <c r="O25" s="67"/>
      <c r="P25" s="26"/>
      <c r="Q25" s="67"/>
      <c r="R25" s="28"/>
      <c r="S25" s="27"/>
      <c r="T25" s="28"/>
      <c r="U25" s="27"/>
      <c r="V25" s="28"/>
      <c r="W25" s="68"/>
      <c r="X25" s="88"/>
      <c r="Y25" s="88"/>
      <c r="Z25" s="88"/>
      <c r="AA25" s="88"/>
      <c r="AB25" s="88"/>
      <c r="AC25" s="88"/>
    </row>
    <row r="26" spans="1:29" ht="28.5" hidden="1" customHeight="1" x14ac:dyDescent="0.2">
      <c r="A26" s="13" t="s">
        <v>9</v>
      </c>
      <c r="B26" s="39"/>
      <c r="C26" s="93" t="s">
        <v>36</v>
      </c>
      <c r="D26" s="40" t="s">
        <v>194</v>
      </c>
      <c r="E26" s="41" t="s">
        <v>104</v>
      </c>
      <c r="F26" s="40"/>
      <c r="G26" s="42" t="s">
        <v>105</v>
      </c>
      <c r="H26" s="43">
        <f>(4.3*0.888)*16*1.04</f>
        <v>63.538176</v>
      </c>
      <c r="I26" s="44"/>
      <c r="J26" s="45"/>
      <c r="K26" s="46"/>
      <c r="L26" s="17"/>
      <c r="M26" s="47"/>
      <c r="N26" s="18"/>
      <c r="O26" s="47"/>
      <c r="P26" s="17"/>
      <c r="Q26" s="47"/>
      <c r="R26" s="18"/>
      <c r="S26" s="48"/>
      <c r="T26" s="49"/>
      <c r="U26" s="48"/>
      <c r="V26" s="49"/>
      <c r="W26" s="29"/>
      <c r="X26" s="89" t="s">
        <v>126</v>
      </c>
      <c r="Y26" s="8"/>
      <c r="Z26" s="8"/>
      <c r="AA26" s="8"/>
      <c r="AB26" s="8"/>
      <c r="AC26" s="8"/>
    </row>
    <row r="27" spans="1:29" ht="28.5" hidden="1" customHeight="1" x14ac:dyDescent="0.2">
      <c r="A27" s="13" t="s">
        <v>9</v>
      </c>
      <c r="B27" s="39"/>
      <c r="C27" s="93" t="s">
        <v>36</v>
      </c>
      <c r="D27" s="40" t="s">
        <v>194</v>
      </c>
      <c r="E27" s="41" t="s">
        <v>106</v>
      </c>
      <c r="F27" s="40"/>
      <c r="G27" s="42" t="s">
        <v>69</v>
      </c>
      <c r="H27" s="43">
        <f>16</f>
        <v>16</v>
      </c>
      <c r="I27" s="44"/>
      <c r="J27" s="45"/>
      <c r="K27" s="46"/>
      <c r="L27" s="17"/>
      <c r="M27" s="47"/>
      <c r="N27" s="18"/>
      <c r="O27" s="47"/>
      <c r="P27" s="17"/>
      <c r="Q27" s="47"/>
      <c r="R27" s="18"/>
      <c r="S27" s="48"/>
      <c r="T27" s="49"/>
      <c r="U27" s="48"/>
      <c r="V27" s="49"/>
      <c r="W27" s="29"/>
      <c r="X27" s="8"/>
      <c r="Y27" s="8"/>
      <c r="Z27" s="8"/>
      <c r="AA27" s="8"/>
      <c r="AB27" s="8"/>
      <c r="AC27" s="8"/>
    </row>
    <row r="28" spans="1:29" ht="28.5" hidden="1" customHeight="1" x14ac:dyDescent="0.2">
      <c r="A28" s="13" t="s">
        <v>9</v>
      </c>
      <c r="B28" s="39"/>
      <c r="C28" s="93" t="s">
        <v>36</v>
      </c>
      <c r="D28" s="40" t="s">
        <v>194</v>
      </c>
      <c r="E28" s="41" t="s">
        <v>108</v>
      </c>
      <c r="F28" s="40"/>
      <c r="G28" s="42" t="s">
        <v>107</v>
      </c>
      <c r="H28" s="43">
        <f>H25*1.05</f>
        <v>0.55796159999999995</v>
      </c>
      <c r="I28" s="44"/>
      <c r="J28" s="45"/>
      <c r="K28" s="46"/>
      <c r="L28" s="17"/>
      <c r="M28" s="47"/>
      <c r="N28" s="18"/>
      <c r="O28" s="47"/>
      <c r="P28" s="17"/>
      <c r="Q28" s="47"/>
      <c r="R28" s="18"/>
      <c r="S28" s="48"/>
      <c r="T28" s="49"/>
      <c r="U28" s="48"/>
      <c r="V28" s="49"/>
      <c r="W28" s="29"/>
      <c r="X28" s="92" t="s">
        <v>125</v>
      </c>
      <c r="Y28" s="8"/>
      <c r="Z28" s="8"/>
      <c r="AA28" s="8"/>
      <c r="AB28" s="8"/>
      <c r="AC28" s="8"/>
    </row>
    <row r="29" spans="1:29" s="69" customFormat="1" ht="28.5" customHeight="1" x14ac:dyDescent="0.2">
      <c r="A29" s="66" t="s">
        <v>8</v>
      </c>
      <c r="B29" s="33" t="s">
        <v>129</v>
      </c>
      <c r="C29" s="23" t="s">
        <v>36</v>
      </c>
      <c r="D29" s="23" t="s">
        <v>194</v>
      </c>
      <c r="E29" s="24" t="s">
        <v>356</v>
      </c>
      <c r="F29" s="36"/>
      <c r="G29" s="37" t="s">
        <v>128</v>
      </c>
      <c r="H29" s="38">
        <f>(0.38*0.3*0.2)*12</f>
        <v>0.27360000000000001</v>
      </c>
      <c r="I29" s="25"/>
      <c r="J29" s="34"/>
      <c r="K29" s="32"/>
      <c r="L29" s="26"/>
      <c r="M29" s="67"/>
      <c r="N29" s="28"/>
      <c r="O29" s="67"/>
      <c r="P29" s="26"/>
      <c r="Q29" s="67"/>
      <c r="R29" s="28"/>
      <c r="S29" s="27"/>
      <c r="T29" s="28"/>
      <c r="U29" s="27"/>
      <c r="V29" s="28"/>
      <c r="W29" s="68"/>
      <c r="X29" s="88"/>
      <c r="Y29" s="88"/>
      <c r="Z29" s="88"/>
      <c r="AA29" s="88"/>
      <c r="AB29" s="88"/>
      <c r="AC29" s="88"/>
    </row>
    <row r="30" spans="1:29" ht="28.5" hidden="1" customHeight="1" x14ac:dyDescent="0.2">
      <c r="A30" s="13" t="s">
        <v>9</v>
      </c>
      <c r="B30" s="39"/>
      <c r="C30" s="93" t="s">
        <v>36</v>
      </c>
      <c r="D30" s="40" t="s">
        <v>194</v>
      </c>
      <c r="E30" s="41" t="s">
        <v>104</v>
      </c>
      <c r="F30" s="40"/>
      <c r="G30" s="42" t="s">
        <v>105</v>
      </c>
      <c r="H30" s="43">
        <f>(4.3*0.888)*12*1.04</f>
        <v>47.653632000000002</v>
      </c>
      <c r="I30" s="44"/>
      <c r="J30" s="45"/>
      <c r="K30" s="46"/>
      <c r="L30" s="17"/>
      <c r="M30" s="47"/>
      <c r="N30" s="18"/>
      <c r="O30" s="47"/>
      <c r="P30" s="17"/>
      <c r="Q30" s="47"/>
      <c r="R30" s="18"/>
      <c r="S30" s="48"/>
      <c r="T30" s="49"/>
      <c r="U30" s="48"/>
      <c r="V30" s="49"/>
      <c r="W30" s="29"/>
      <c r="X30" s="89" t="s">
        <v>126</v>
      </c>
      <c r="Y30" s="8"/>
      <c r="Z30" s="8"/>
      <c r="AA30" s="8"/>
      <c r="AB30" s="8"/>
      <c r="AC30" s="8"/>
    </row>
    <row r="31" spans="1:29" ht="28.5" hidden="1" customHeight="1" x14ac:dyDescent="0.2">
      <c r="A31" s="13" t="s">
        <v>9</v>
      </c>
      <c r="B31" s="39"/>
      <c r="C31" s="93" t="s">
        <v>36</v>
      </c>
      <c r="D31" s="40" t="s">
        <v>194</v>
      </c>
      <c r="E31" s="41" t="s">
        <v>106</v>
      </c>
      <c r="F31" s="40"/>
      <c r="G31" s="42" t="s">
        <v>69</v>
      </c>
      <c r="H31" s="43">
        <f>12</f>
        <v>12</v>
      </c>
      <c r="I31" s="44"/>
      <c r="J31" s="45"/>
      <c r="K31" s="46"/>
      <c r="L31" s="17"/>
      <c r="M31" s="47"/>
      <c r="N31" s="18"/>
      <c r="O31" s="47"/>
      <c r="P31" s="17"/>
      <c r="Q31" s="47"/>
      <c r="R31" s="18"/>
      <c r="S31" s="48"/>
      <c r="T31" s="49"/>
      <c r="U31" s="48"/>
      <c r="V31" s="49"/>
      <c r="W31" s="29"/>
      <c r="X31" s="8"/>
      <c r="Y31" s="8"/>
      <c r="Z31" s="8"/>
      <c r="AA31" s="8"/>
      <c r="AB31" s="8"/>
      <c r="AC31" s="8"/>
    </row>
    <row r="32" spans="1:29" ht="28.5" hidden="1" customHeight="1" x14ac:dyDescent="0.2">
      <c r="A32" s="13" t="s">
        <v>9</v>
      </c>
      <c r="B32" s="39"/>
      <c r="C32" s="93" t="s">
        <v>36</v>
      </c>
      <c r="D32" s="40" t="s">
        <v>194</v>
      </c>
      <c r="E32" s="41" t="s">
        <v>108</v>
      </c>
      <c r="F32" s="40"/>
      <c r="G32" s="42" t="s">
        <v>107</v>
      </c>
      <c r="H32" s="43">
        <f>H29*1.05</f>
        <v>0.28728000000000004</v>
      </c>
      <c r="I32" s="44"/>
      <c r="J32" s="45"/>
      <c r="K32" s="46"/>
      <c r="L32" s="17"/>
      <c r="M32" s="47"/>
      <c r="N32" s="18"/>
      <c r="O32" s="47"/>
      <c r="P32" s="17"/>
      <c r="Q32" s="47"/>
      <c r="R32" s="18"/>
      <c r="S32" s="48"/>
      <c r="T32" s="49"/>
      <c r="U32" s="48"/>
      <c r="V32" s="49"/>
      <c r="W32" s="29"/>
      <c r="X32" s="92" t="s">
        <v>125</v>
      </c>
      <c r="Y32" s="8"/>
      <c r="Z32" s="8"/>
      <c r="AA32" s="8"/>
      <c r="AB32" s="8"/>
      <c r="AC32" s="8"/>
    </row>
    <row r="33" spans="1:29" s="69" customFormat="1" ht="28.5" customHeight="1" x14ac:dyDescent="0.2">
      <c r="A33" s="66" t="s">
        <v>8</v>
      </c>
      <c r="B33" s="33" t="s">
        <v>130</v>
      </c>
      <c r="C33" s="23" t="s">
        <v>36</v>
      </c>
      <c r="D33" s="23" t="s">
        <v>194</v>
      </c>
      <c r="E33" s="24" t="s">
        <v>352</v>
      </c>
      <c r="F33" s="36"/>
      <c r="G33" s="37" t="s">
        <v>110</v>
      </c>
      <c r="H33" s="38">
        <f>(H34+H35+H36+H37+H38)/1000</f>
        <v>4.9123213200000002</v>
      </c>
      <c r="I33" s="25"/>
      <c r="J33" s="34"/>
      <c r="K33" s="32"/>
      <c r="L33" s="26"/>
      <c r="M33" s="67"/>
      <c r="N33" s="28"/>
      <c r="O33" s="67"/>
      <c r="P33" s="26"/>
      <c r="Q33" s="67"/>
      <c r="R33" s="28"/>
      <c r="S33" s="27"/>
      <c r="T33" s="28"/>
      <c r="U33" s="27"/>
      <c r="V33" s="28"/>
      <c r="W33" s="68"/>
      <c r="X33" s="88"/>
      <c r="Y33" s="88"/>
      <c r="Z33" s="88"/>
      <c r="AA33" s="88"/>
      <c r="AB33" s="88"/>
      <c r="AC33" s="88"/>
    </row>
    <row r="34" spans="1:29" ht="28.5" hidden="1" customHeight="1" x14ac:dyDescent="0.2">
      <c r="A34" s="13" t="s">
        <v>9</v>
      </c>
      <c r="B34" s="39"/>
      <c r="C34" s="93" t="s">
        <v>36</v>
      </c>
      <c r="D34" s="40" t="s">
        <v>194</v>
      </c>
      <c r="E34" s="41" t="s">
        <v>109</v>
      </c>
      <c r="F34" s="40"/>
      <c r="G34" s="42" t="s">
        <v>105</v>
      </c>
      <c r="H34" s="43">
        <f>85.36*49.9*1.03</f>
        <v>4387.2479199999998</v>
      </c>
      <c r="I34" s="44"/>
      <c r="J34" s="45"/>
      <c r="K34" s="46"/>
      <c r="L34" s="17"/>
      <c r="M34" s="47"/>
      <c r="N34" s="18"/>
      <c r="O34" s="47"/>
      <c r="P34" s="17"/>
      <c r="Q34" s="47"/>
      <c r="R34" s="18"/>
      <c r="S34" s="48"/>
      <c r="T34" s="49"/>
      <c r="U34" s="48"/>
      <c r="V34" s="49"/>
      <c r="W34" s="29"/>
      <c r="X34" s="89" t="s">
        <v>127</v>
      </c>
      <c r="Y34" s="8"/>
      <c r="Z34" s="8"/>
      <c r="AA34" s="8"/>
      <c r="AB34" s="8"/>
      <c r="AC34" s="8"/>
    </row>
    <row r="35" spans="1:29" ht="28.5" hidden="1" customHeight="1" x14ac:dyDescent="0.2">
      <c r="A35" s="13" t="s">
        <v>9</v>
      </c>
      <c r="B35" s="39"/>
      <c r="C35" s="93" t="s">
        <v>36</v>
      </c>
      <c r="D35" s="40" t="s">
        <v>194</v>
      </c>
      <c r="E35" s="41" t="s">
        <v>111</v>
      </c>
      <c r="F35" s="40"/>
      <c r="G35" s="42" t="s">
        <v>105</v>
      </c>
      <c r="H35" s="43">
        <f>16*2.2*1.03</f>
        <v>36.256000000000007</v>
      </c>
      <c r="I35" s="44"/>
      <c r="J35" s="45"/>
      <c r="K35" s="46"/>
      <c r="L35" s="17"/>
      <c r="M35" s="47"/>
      <c r="N35" s="18"/>
      <c r="O35" s="47"/>
      <c r="P35" s="17"/>
      <c r="Q35" s="47"/>
      <c r="R35" s="18"/>
      <c r="S35" s="48"/>
      <c r="T35" s="49"/>
      <c r="U35" s="48"/>
      <c r="V35" s="49"/>
      <c r="W35" s="29"/>
      <c r="X35" s="89" t="s">
        <v>127</v>
      </c>
      <c r="Y35" s="8"/>
      <c r="Z35" s="8"/>
      <c r="AA35" s="8"/>
      <c r="AB35" s="8"/>
      <c r="AC35" s="8"/>
    </row>
    <row r="36" spans="1:29" ht="28.5" hidden="1" customHeight="1" x14ac:dyDescent="0.2">
      <c r="A36" s="13" t="s">
        <v>9</v>
      </c>
      <c r="B36" s="39"/>
      <c r="C36" s="93" t="s">
        <v>36</v>
      </c>
      <c r="D36" s="40" t="s">
        <v>194</v>
      </c>
      <c r="E36" s="41" t="s">
        <v>112</v>
      </c>
      <c r="F36" s="40"/>
      <c r="G36" s="42" t="s">
        <v>105</v>
      </c>
      <c r="H36" s="43">
        <f>42*1.06*1.03</f>
        <v>45.855600000000003</v>
      </c>
      <c r="I36" s="44"/>
      <c r="J36" s="45"/>
      <c r="K36" s="46"/>
      <c r="L36" s="17"/>
      <c r="M36" s="47"/>
      <c r="N36" s="18"/>
      <c r="O36" s="47"/>
      <c r="P36" s="17"/>
      <c r="Q36" s="47"/>
      <c r="R36" s="18"/>
      <c r="S36" s="48"/>
      <c r="T36" s="49"/>
      <c r="U36" s="48"/>
      <c r="V36" s="49"/>
      <c r="W36" s="29"/>
      <c r="X36" s="89" t="s">
        <v>127</v>
      </c>
      <c r="Y36" s="8"/>
      <c r="Z36" s="8"/>
      <c r="AA36" s="8"/>
      <c r="AB36" s="8"/>
      <c r="AC36" s="8"/>
    </row>
    <row r="37" spans="1:29" ht="28.5" hidden="1" customHeight="1" x14ac:dyDescent="0.2">
      <c r="A37" s="13" t="s">
        <v>9</v>
      </c>
      <c r="B37" s="39"/>
      <c r="C37" s="93" t="s">
        <v>36</v>
      </c>
      <c r="D37" s="40" t="s">
        <v>194</v>
      </c>
      <c r="E37" s="41" t="s">
        <v>114</v>
      </c>
      <c r="F37" s="40"/>
      <c r="G37" s="42" t="s">
        <v>105</v>
      </c>
      <c r="H37" s="43">
        <f>7*23.83*1.03</f>
        <v>171.8143</v>
      </c>
      <c r="I37" s="44"/>
      <c r="J37" s="45"/>
      <c r="K37" s="46"/>
      <c r="L37" s="17"/>
      <c r="M37" s="47"/>
      <c r="N37" s="18"/>
      <c r="O37" s="47"/>
      <c r="P37" s="17"/>
      <c r="Q37" s="47"/>
      <c r="R37" s="18"/>
      <c r="S37" s="48"/>
      <c r="T37" s="49"/>
      <c r="U37" s="48"/>
      <c r="V37" s="49"/>
      <c r="W37" s="29"/>
      <c r="X37" s="89" t="s">
        <v>127</v>
      </c>
      <c r="Y37" s="8"/>
      <c r="Z37" s="8"/>
      <c r="AA37" s="8"/>
      <c r="AB37" s="8"/>
      <c r="AC37" s="8"/>
    </row>
    <row r="38" spans="1:29" ht="28.5" hidden="1" customHeight="1" x14ac:dyDescent="0.2">
      <c r="A38" s="13" t="s">
        <v>9</v>
      </c>
      <c r="B38" s="39"/>
      <c r="C38" s="93" t="s">
        <v>36</v>
      </c>
      <c r="D38" s="40" t="s">
        <v>194</v>
      </c>
      <c r="E38" s="41" t="s">
        <v>115</v>
      </c>
      <c r="F38" s="40"/>
      <c r="G38" s="42" t="s">
        <v>105</v>
      </c>
      <c r="H38" s="43">
        <f>15*17.55*1.03</f>
        <v>271.14749999999998</v>
      </c>
      <c r="I38" s="44"/>
      <c r="J38" s="45"/>
      <c r="K38" s="46"/>
      <c r="L38" s="17"/>
      <c r="M38" s="47"/>
      <c r="N38" s="18"/>
      <c r="O38" s="47"/>
      <c r="P38" s="17"/>
      <c r="Q38" s="47"/>
      <c r="R38" s="18"/>
      <c r="S38" s="48"/>
      <c r="T38" s="49"/>
      <c r="U38" s="48"/>
      <c r="V38" s="49"/>
      <c r="W38" s="29"/>
      <c r="X38" s="89" t="s">
        <v>127</v>
      </c>
      <c r="Y38" s="8"/>
      <c r="Z38" s="8"/>
      <c r="AA38" s="8"/>
      <c r="AB38" s="8"/>
      <c r="AC38" s="8"/>
    </row>
    <row r="39" spans="1:29" ht="28.5" hidden="1" customHeight="1" x14ac:dyDescent="0.2">
      <c r="A39" s="13" t="s">
        <v>9</v>
      </c>
      <c r="B39" s="39"/>
      <c r="C39" s="93" t="s">
        <v>36</v>
      </c>
      <c r="D39" s="40" t="s">
        <v>194</v>
      </c>
      <c r="E39" s="41" t="s">
        <v>124</v>
      </c>
      <c r="F39" s="40"/>
      <c r="G39" s="42" t="s">
        <v>69</v>
      </c>
      <c r="H39" s="43">
        <v>44</v>
      </c>
      <c r="I39" s="44"/>
      <c r="J39" s="45"/>
      <c r="K39" s="46"/>
      <c r="L39" s="17"/>
      <c r="M39" s="47"/>
      <c r="N39" s="18"/>
      <c r="O39" s="47"/>
      <c r="P39" s="17"/>
      <c r="Q39" s="47"/>
      <c r="R39" s="18"/>
      <c r="S39" s="48"/>
      <c r="T39" s="49"/>
      <c r="U39" s="48"/>
      <c r="V39" s="49"/>
      <c r="W39" s="29"/>
      <c r="X39" s="8"/>
      <c r="Y39" s="8"/>
      <c r="Z39" s="8"/>
      <c r="AA39" s="8"/>
      <c r="AB39" s="8"/>
      <c r="AC39" s="8"/>
    </row>
    <row r="40" spans="1:29" s="69" customFormat="1" ht="28.5" customHeight="1" x14ac:dyDescent="0.2">
      <c r="A40" s="66" t="s">
        <v>8</v>
      </c>
      <c r="B40" s="33" t="s">
        <v>131</v>
      </c>
      <c r="C40" s="23" t="s">
        <v>36</v>
      </c>
      <c r="D40" s="23" t="s">
        <v>194</v>
      </c>
      <c r="E40" s="24" t="s">
        <v>354</v>
      </c>
      <c r="F40" s="36"/>
      <c r="G40" s="37" t="s">
        <v>119</v>
      </c>
      <c r="H40" s="38">
        <f>42.7</f>
        <v>42.7</v>
      </c>
      <c r="I40" s="25"/>
      <c r="J40" s="34"/>
      <c r="K40" s="32"/>
      <c r="L40" s="26"/>
      <c r="M40" s="67"/>
      <c r="N40" s="28"/>
      <c r="O40" s="67"/>
      <c r="P40" s="26"/>
      <c r="Q40" s="67"/>
      <c r="R40" s="28"/>
      <c r="S40" s="27"/>
      <c r="T40" s="28"/>
      <c r="U40" s="27"/>
      <c r="V40" s="28"/>
      <c r="W40" s="68"/>
      <c r="X40" s="88"/>
      <c r="Y40" s="88"/>
      <c r="Z40" s="88"/>
      <c r="AA40" s="88"/>
      <c r="AB40" s="88"/>
      <c r="AC40" s="88"/>
    </row>
    <row r="41" spans="1:29" ht="28.5" hidden="1" customHeight="1" x14ac:dyDescent="0.2">
      <c r="A41" s="13" t="s">
        <v>9</v>
      </c>
      <c r="B41" s="39"/>
      <c r="C41" s="93" t="s">
        <v>36</v>
      </c>
      <c r="D41" s="40" t="s">
        <v>194</v>
      </c>
      <c r="E41" s="41" t="s">
        <v>116</v>
      </c>
      <c r="F41" s="40"/>
      <c r="G41" s="42" t="s">
        <v>113</v>
      </c>
      <c r="H41" s="43">
        <f>H40*2*1.12</f>
        <v>95.64800000000001</v>
      </c>
      <c r="I41" s="44"/>
      <c r="J41" s="45"/>
      <c r="K41" s="46"/>
      <c r="L41" s="17"/>
      <c r="M41" s="47"/>
      <c r="N41" s="18"/>
      <c r="O41" s="47"/>
      <c r="P41" s="17"/>
      <c r="Q41" s="47"/>
      <c r="R41" s="18"/>
      <c r="S41" s="48"/>
      <c r="T41" s="49"/>
      <c r="U41" s="48"/>
      <c r="V41" s="49"/>
      <c r="W41" s="29"/>
      <c r="X41" s="89" t="s">
        <v>187</v>
      </c>
      <c r="Y41" s="8"/>
      <c r="Z41" s="8"/>
      <c r="AA41" s="8"/>
      <c r="AB41" s="8"/>
      <c r="AC41" s="8"/>
    </row>
    <row r="42" spans="1:29" s="69" customFormat="1" ht="28.5" customHeight="1" x14ac:dyDescent="0.2">
      <c r="A42" s="66" t="s">
        <v>8</v>
      </c>
      <c r="B42" s="33" t="s">
        <v>355</v>
      </c>
      <c r="C42" s="23" t="s">
        <v>36</v>
      </c>
      <c r="D42" s="23" t="s">
        <v>194</v>
      </c>
      <c r="E42" s="24" t="s">
        <v>120</v>
      </c>
      <c r="F42" s="36"/>
      <c r="G42" s="37" t="s">
        <v>119</v>
      </c>
      <c r="H42" s="38">
        <f>H33*30</f>
        <v>147.3696396</v>
      </c>
      <c r="I42" s="25"/>
      <c r="J42" s="34"/>
      <c r="K42" s="32"/>
      <c r="L42" s="26"/>
      <c r="M42" s="67"/>
      <c r="N42" s="28"/>
      <c r="O42" s="67"/>
      <c r="P42" s="26"/>
      <c r="Q42" s="67"/>
      <c r="R42" s="28"/>
      <c r="S42" s="27"/>
      <c r="T42" s="28"/>
      <c r="U42" s="27"/>
      <c r="V42" s="28"/>
      <c r="W42" s="68"/>
      <c r="X42" s="88"/>
      <c r="Y42" s="88"/>
      <c r="Z42" s="88"/>
      <c r="AA42" s="88"/>
      <c r="AB42" s="88"/>
      <c r="AC42" s="88"/>
    </row>
    <row r="43" spans="1:29" ht="28.5" hidden="1" customHeight="1" x14ac:dyDescent="0.2">
      <c r="A43" s="13" t="s">
        <v>9</v>
      </c>
      <c r="B43" s="39"/>
      <c r="C43" s="93" t="s">
        <v>36</v>
      </c>
      <c r="D43" s="40" t="s">
        <v>194</v>
      </c>
      <c r="E43" s="41" t="s">
        <v>118</v>
      </c>
      <c r="F43" s="40"/>
      <c r="G43" s="42" t="s">
        <v>105</v>
      </c>
      <c r="H43" s="43">
        <f>H42*0.08*1.13</f>
        <v>13.322215419839999</v>
      </c>
      <c r="I43" s="44"/>
      <c r="J43" s="45"/>
      <c r="K43" s="46"/>
      <c r="L43" s="17"/>
      <c r="M43" s="47"/>
      <c r="N43" s="18"/>
      <c r="O43" s="47"/>
      <c r="P43" s="17"/>
      <c r="Q43" s="47"/>
      <c r="R43" s="18"/>
      <c r="S43" s="48"/>
      <c r="T43" s="49"/>
      <c r="U43" s="48"/>
      <c r="V43" s="49"/>
      <c r="W43" s="29"/>
      <c r="X43" s="89" t="s">
        <v>122</v>
      </c>
      <c r="Y43" s="8"/>
      <c r="Z43" s="8"/>
      <c r="AA43" s="8"/>
      <c r="AB43" s="8"/>
      <c r="AC43" s="8"/>
    </row>
    <row r="44" spans="1:29" ht="28.5" hidden="1" customHeight="1" x14ac:dyDescent="0.2">
      <c r="A44" s="13" t="s">
        <v>9</v>
      </c>
      <c r="B44" s="39"/>
      <c r="C44" s="93" t="s">
        <v>36</v>
      </c>
      <c r="D44" s="40" t="s">
        <v>194</v>
      </c>
      <c r="E44" s="41" t="s">
        <v>121</v>
      </c>
      <c r="F44" s="40"/>
      <c r="G44" s="42" t="s">
        <v>105</v>
      </c>
      <c r="H44" s="43">
        <f>H42*0.14*2*1.13</f>
        <v>46.627753969440001</v>
      </c>
      <c r="I44" s="44"/>
      <c r="J44" s="45"/>
      <c r="K44" s="46"/>
      <c r="L44" s="17"/>
      <c r="M44" s="47"/>
      <c r="N44" s="18"/>
      <c r="O44" s="47"/>
      <c r="P44" s="17"/>
      <c r="Q44" s="47"/>
      <c r="R44" s="18"/>
      <c r="S44" s="48"/>
      <c r="T44" s="49"/>
      <c r="U44" s="48"/>
      <c r="V44" s="49"/>
      <c r="W44" s="29"/>
      <c r="X44" s="89" t="s">
        <v>123</v>
      </c>
      <c r="Y44" s="8"/>
      <c r="Z44" s="8"/>
      <c r="AA44" s="8"/>
      <c r="AB44" s="8"/>
      <c r="AC44" s="8"/>
    </row>
    <row r="45" spans="1:29" s="85" customFormat="1" ht="28.5" customHeight="1" x14ac:dyDescent="0.2">
      <c r="A45" s="70" t="s">
        <v>14</v>
      </c>
      <c r="B45" s="71">
        <v>3</v>
      </c>
      <c r="C45" s="72" t="s">
        <v>36</v>
      </c>
      <c r="D45" s="75" t="s">
        <v>194</v>
      </c>
      <c r="E45" s="74" t="s">
        <v>230</v>
      </c>
      <c r="F45" s="75"/>
      <c r="G45" s="73"/>
      <c r="H45" s="76"/>
      <c r="I45" s="77"/>
      <c r="J45" s="76"/>
      <c r="K45" s="78"/>
      <c r="L45" s="79"/>
      <c r="M45" s="80"/>
      <c r="N45" s="81"/>
      <c r="O45" s="82"/>
      <c r="P45" s="79"/>
      <c r="Q45" s="80"/>
      <c r="R45" s="81"/>
      <c r="S45" s="80"/>
      <c r="T45" s="83"/>
      <c r="U45" s="84"/>
      <c r="V45" s="83"/>
    </row>
    <row r="46" spans="1:29" s="69" customFormat="1" ht="28.5" customHeight="1" x14ac:dyDescent="0.2">
      <c r="A46" s="66" t="s">
        <v>8</v>
      </c>
      <c r="B46" s="33" t="s">
        <v>97</v>
      </c>
      <c r="C46" s="23" t="s">
        <v>36</v>
      </c>
      <c r="D46" s="23" t="s">
        <v>194</v>
      </c>
      <c r="E46" s="24" t="s">
        <v>351</v>
      </c>
      <c r="F46" s="36"/>
      <c r="G46" s="37" t="s">
        <v>128</v>
      </c>
      <c r="H46" s="38">
        <f>(0.38*0.38*0.23)*11</f>
        <v>0.36533199999999999</v>
      </c>
      <c r="I46" s="25"/>
      <c r="J46" s="34"/>
      <c r="K46" s="32"/>
      <c r="L46" s="26"/>
      <c r="M46" s="67"/>
      <c r="N46" s="28"/>
      <c r="O46" s="67"/>
      <c r="P46" s="26"/>
      <c r="Q46" s="67"/>
      <c r="R46" s="28"/>
      <c r="S46" s="27"/>
      <c r="T46" s="28"/>
      <c r="U46" s="27"/>
      <c r="V46" s="28"/>
      <c r="W46" s="68"/>
      <c r="X46" s="88"/>
      <c r="Y46" s="88"/>
      <c r="Z46" s="88"/>
      <c r="AA46" s="88"/>
      <c r="AB46" s="88"/>
      <c r="AC46" s="88"/>
    </row>
    <row r="47" spans="1:29" s="4" customFormat="1" ht="28.5" hidden="1" customHeight="1" x14ac:dyDescent="0.2">
      <c r="A47" s="86" t="s">
        <v>9</v>
      </c>
      <c r="B47" s="87"/>
      <c r="C47" s="93" t="s">
        <v>36</v>
      </c>
      <c r="D47" s="40" t="s">
        <v>194</v>
      </c>
      <c r="E47" s="41" t="s">
        <v>104</v>
      </c>
      <c r="F47" s="40"/>
      <c r="G47" s="42" t="s">
        <v>105</v>
      </c>
      <c r="H47" s="43">
        <f>(4.3*0.888)*11*1.04</f>
        <v>43.682496</v>
      </c>
      <c r="I47" s="44"/>
      <c r="J47" s="45"/>
      <c r="K47" s="46"/>
      <c r="L47" s="17"/>
      <c r="M47" s="47"/>
      <c r="N47" s="18"/>
      <c r="O47" s="47"/>
      <c r="P47" s="17"/>
      <c r="Q47" s="47"/>
      <c r="R47" s="18"/>
      <c r="S47" s="48"/>
      <c r="T47" s="49"/>
      <c r="U47" s="48"/>
      <c r="V47" s="49"/>
      <c r="W47" s="29"/>
      <c r="X47" s="89" t="s">
        <v>126</v>
      </c>
    </row>
    <row r="48" spans="1:29" s="4" customFormat="1" ht="28.5" hidden="1" customHeight="1" x14ac:dyDescent="0.2">
      <c r="A48" s="86" t="s">
        <v>9</v>
      </c>
      <c r="B48" s="87"/>
      <c r="C48" s="93" t="s">
        <v>36</v>
      </c>
      <c r="D48" s="40" t="s">
        <v>194</v>
      </c>
      <c r="E48" s="41" t="s">
        <v>106</v>
      </c>
      <c r="F48" s="40"/>
      <c r="G48" s="42" t="s">
        <v>69</v>
      </c>
      <c r="H48" s="43">
        <f>11</f>
        <v>11</v>
      </c>
      <c r="I48" s="44"/>
      <c r="J48" s="45"/>
      <c r="K48" s="46"/>
      <c r="L48" s="17"/>
      <c r="M48" s="47"/>
      <c r="N48" s="18"/>
      <c r="O48" s="47"/>
      <c r="P48" s="17"/>
      <c r="Q48" s="47"/>
      <c r="R48" s="18"/>
      <c r="S48" s="48"/>
      <c r="T48" s="49"/>
      <c r="U48" s="48"/>
      <c r="V48" s="49"/>
      <c r="W48" s="29"/>
      <c r="X48" s="8"/>
    </row>
    <row r="49" spans="1:29" s="4" customFormat="1" ht="28.5" hidden="1" customHeight="1" x14ac:dyDescent="0.2">
      <c r="A49" s="86" t="s">
        <v>9</v>
      </c>
      <c r="B49" s="87"/>
      <c r="C49" s="93" t="s">
        <v>36</v>
      </c>
      <c r="D49" s="40" t="s">
        <v>194</v>
      </c>
      <c r="E49" s="41" t="s">
        <v>108</v>
      </c>
      <c r="F49" s="40"/>
      <c r="G49" s="42" t="s">
        <v>107</v>
      </c>
      <c r="H49" s="43">
        <f>H46*1.05</f>
        <v>0.38359860000000001</v>
      </c>
      <c r="I49" s="44"/>
      <c r="J49" s="45"/>
      <c r="K49" s="46"/>
      <c r="L49" s="17"/>
      <c r="M49" s="47"/>
      <c r="N49" s="18"/>
      <c r="O49" s="47"/>
      <c r="P49" s="17"/>
      <c r="Q49" s="47"/>
      <c r="R49" s="18"/>
      <c r="S49" s="48"/>
      <c r="T49" s="49"/>
      <c r="U49" s="48"/>
      <c r="V49" s="49"/>
      <c r="W49" s="29"/>
      <c r="X49" s="92" t="s">
        <v>125</v>
      </c>
    </row>
    <row r="50" spans="1:29" s="69" customFormat="1" ht="28.5" customHeight="1" x14ac:dyDescent="0.2">
      <c r="A50" s="66" t="s">
        <v>8</v>
      </c>
      <c r="B50" s="33" t="s">
        <v>98</v>
      </c>
      <c r="C50" s="23" t="s">
        <v>36</v>
      </c>
      <c r="D50" s="23" t="s">
        <v>194</v>
      </c>
      <c r="E50" s="24" t="s">
        <v>356</v>
      </c>
      <c r="F50" s="36"/>
      <c r="G50" s="37" t="s">
        <v>128</v>
      </c>
      <c r="H50" s="38">
        <f>(0.38*0.3*0.2)*7</f>
        <v>0.15960000000000002</v>
      </c>
      <c r="I50" s="25"/>
      <c r="J50" s="34"/>
      <c r="K50" s="32"/>
      <c r="L50" s="26"/>
      <c r="M50" s="67"/>
      <c r="N50" s="28"/>
      <c r="O50" s="67"/>
      <c r="P50" s="26"/>
      <c r="Q50" s="67"/>
      <c r="R50" s="28"/>
      <c r="S50" s="27"/>
      <c r="T50" s="28"/>
      <c r="U50" s="27"/>
      <c r="V50" s="28"/>
      <c r="W50" s="68"/>
      <c r="X50" s="88"/>
      <c r="Y50" s="88"/>
      <c r="Z50" s="88"/>
      <c r="AA50" s="88"/>
      <c r="AB50" s="88"/>
      <c r="AC50" s="88"/>
    </row>
    <row r="51" spans="1:29" s="4" customFormat="1" ht="28.5" hidden="1" customHeight="1" x14ac:dyDescent="0.2">
      <c r="A51" s="86" t="s">
        <v>9</v>
      </c>
      <c r="B51" s="87"/>
      <c r="C51" s="93" t="s">
        <v>36</v>
      </c>
      <c r="D51" s="40" t="s">
        <v>194</v>
      </c>
      <c r="E51" s="41" t="s">
        <v>104</v>
      </c>
      <c r="F51" s="40"/>
      <c r="G51" s="42" t="s">
        <v>105</v>
      </c>
      <c r="H51" s="43">
        <f>(4.3*0.888)*7*1.04</f>
        <v>27.797952000000002</v>
      </c>
      <c r="I51" s="44"/>
      <c r="J51" s="45"/>
      <c r="K51" s="46"/>
      <c r="L51" s="17"/>
      <c r="M51" s="47"/>
      <c r="N51" s="18"/>
      <c r="O51" s="47"/>
      <c r="P51" s="17"/>
      <c r="Q51" s="47"/>
      <c r="R51" s="18"/>
      <c r="S51" s="48"/>
      <c r="T51" s="49"/>
      <c r="U51" s="48"/>
      <c r="V51" s="49"/>
      <c r="W51" s="29"/>
      <c r="X51" s="89" t="s">
        <v>126</v>
      </c>
    </row>
    <row r="52" spans="1:29" s="4" customFormat="1" ht="28.5" hidden="1" customHeight="1" x14ac:dyDescent="0.2">
      <c r="A52" s="86" t="s">
        <v>9</v>
      </c>
      <c r="B52" s="87"/>
      <c r="C52" s="93" t="s">
        <v>36</v>
      </c>
      <c r="D52" s="40" t="s">
        <v>194</v>
      </c>
      <c r="E52" s="41" t="s">
        <v>106</v>
      </c>
      <c r="F52" s="40"/>
      <c r="G52" s="42" t="s">
        <v>69</v>
      </c>
      <c r="H52" s="43">
        <f>7</f>
        <v>7</v>
      </c>
      <c r="I52" s="44"/>
      <c r="J52" s="45"/>
      <c r="K52" s="46"/>
      <c r="L52" s="17"/>
      <c r="M52" s="47"/>
      <c r="N52" s="18"/>
      <c r="O52" s="47"/>
      <c r="P52" s="17"/>
      <c r="Q52" s="47"/>
      <c r="R52" s="18"/>
      <c r="S52" s="48"/>
      <c r="T52" s="49"/>
      <c r="U52" s="48"/>
      <c r="V52" s="49"/>
      <c r="W52" s="29"/>
      <c r="X52" s="8"/>
    </row>
    <row r="53" spans="1:29" s="4" customFormat="1" ht="28.5" hidden="1" customHeight="1" x14ac:dyDescent="0.2">
      <c r="A53" s="86" t="s">
        <v>9</v>
      </c>
      <c r="B53" s="87"/>
      <c r="C53" s="93" t="s">
        <v>36</v>
      </c>
      <c r="D53" s="40" t="s">
        <v>194</v>
      </c>
      <c r="E53" s="41" t="s">
        <v>108</v>
      </c>
      <c r="F53" s="40"/>
      <c r="G53" s="42" t="s">
        <v>107</v>
      </c>
      <c r="H53" s="43">
        <f>H50*1.05</f>
        <v>0.16758000000000003</v>
      </c>
      <c r="I53" s="44"/>
      <c r="J53" s="45"/>
      <c r="K53" s="46"/>
      <c r="L53" s="17"/>
      <c r="M53" s="47"/>
      <c r="N53" s="18"/>
      <c r="O53" s="47"/>
      <c r="P53" s="17"/>
      <c r="Q53" s="47"/>
      <c r="R53" s="18"/>
      <c r="S53" s="48"/>
      <c r="T53" s="49"/>
      <c r="U53" s="48"/>
      <c r="V53" s="49"/>
      <c r="W53" s="29"/>
      <c r="X53" s="92" t="s">
        <v>125</v>
      </c>
    </row>
    <row r="54" spans="1:29" s="69" customFormat="1" ht="28.5" customHeight="1" x14ac:dyDescent="0.2">
      <c r="A54" s="66" t="s">
        <v>8</v>
      </c>
      <c r="B54" s="33" t="s">
        <v>99</v>
      </c>
      <c r="C54" s="23" t="s">
        <v>36</v>
      </c>
      <c r="D54" s="23" t="s">
        <v>194</v>
      </c>
      <c r="E54" s="24" t="s">
        <v>352</v>
      </c>
      <c r="F54" s="36"/>
      <c r="G54" s="37" t="s">
        <v>110</v>
      </c>
      <c r="H54" s="38">
        <f>(H55+H56+H57+H58+H59)/1000</f>
        <v>2.83404809</v>
      </c>
      <c r="I54" s="25"/>
      <c r="J54" s="34"/>
      <c r="K54" s="32"/>
      <c r="L54" s="26"/>
      <c r="M54" s="67"/>
      <c r="N54" s="28"/>
      <c r="O54" s="67"/>
      <c r="P54" s="26"/>
      <c r="Q54" s="67"/>
      <c r="R54" s="28"/>
      <c r="S54" s="27"/>
      <c r="T54" s="28"/>
      <c r="U54" s="27"/>
      <c r="V54" s="28"/>
      <c r="W54" s="68"/>
      <c r="X54" s="88"/>
      <c r="Y54" s="88"/>
      <c r="Z54" s="88"/>
      <c r="AA54" s="88"/>
      <c r="AB54" s="88"/>
      <c r="AC54" s="88"/>
    </row>
    <row r="55" spans="1:29" s="4" customFormat="1" ht="28.5" hidden="1" customHeight="1" x14ac:dyDescent="0.2">
      <c r="A55" s="86" t="s">
        <v>9</v>
      </c>
      <c r="B55" s="87"/>
      <c r="C55" s="93" t="s">
        <v>36</v>
      </c>
      <c r="D55" s="40" t="s">
        <v>194</v>
      </c>
      <c r="E55" s="41" t="s">
        <v>109</v>
      </c>
      <c r="F55" s="40"/>
      <c r="G55" s="42" t="s">
        <v>105</v>
      </c>
      <c r="H55" s="43">
        <f>46.87*49.9*1.03</f>
        <v>2408.9773899999996</v>
      </c>
      <c r="I55" s="44"/>
      <c r="J55" s="45"/>
      <c r="K55" s="46"/>
      <c r="L55" s="17"/>
      <c r="M55" s="47"/>
      <c r="N55" s="18"/>
      <c r="O55" s="47"/>
      <c r="P55" s="17"/>
      <c r="Q55" s="47"/>
      <c r="R55" s="18"/>
      <c r="S55" s="48"/>
      <c r="T55" s="49"/>
      <c r="U55" s="48"/>
      <c r="V55" s="49"/>
      <c r="W55" s="29"/>
      <c r="X55" s="89" t="s">
        <v>127</v>
      </c>
    </row>
    <row r="56" spans="1:29" s="4" customFormat="1" ht="28.5" hidden="1" customHeight="1" x14ac:dyDescent="0.2">
      <c r="A56" s="86" t="s">
        <v>9</v>
      </c>
      <c r="B56" s="87"/>
      <c r="C56" s="93" t="s">
        <v>36</v>
      </c>
      <c r="D56" s="40" t="s">
        <v>194</v>
      </c>
      <c r="E56" s="41" t="s">
        <v>111</v>
      </c>
      <c r="F56" s="40"/>
      <c r="G56" s="42" t="s">
        <v>105</v>
      </c>
      <c r="H56" s="43">
        <f>12*2.2*1.03</f>
        <v>27.192000000000004</v>
      </c>
      <c r="I56" s="44"/>
      <c r="J56" s="45"/>
      <c r="K56" s="46"/>
      <c r="L56" s="17"/>
      <c r="M56" s="47"/>
      <c r="N56" s="18"/>
      <c r="O56" s="47"/>
      <c r="P56" s="17"/>
      <c r="Q56" s="47"/>
      <c r="R56" s="18"/>
      <c r="S56" s="48"/>
      <c r="T56" s="49"/>
      <c r="U56" s="48"/>
      <c r="V56" s="49"/>
      <c r="W56" s="29"/>
      <c r="X56" s="89" t="s">
        <v>127</v>
      </c>
    </row>
    <row r="57" spans="1:29" s="4" customFormat="1" ht="28.5" hidden="1" customHeight="1" x14ac:dyDescent="0.2">
      <c r="A57" s="86" t="s">
        <v>9</v>
      </c>
      <c r="B57" s="87"/>
      <c r="C57" s="93" t="s">
        <v>36</v>
      </c>
      <c r="D57" s="40" t="s">
        <v>194</v>
      </c>
      <c r="E57" s="41" t="s">
        <v>112</v>
      </c>
      <c r="F57" s="40"/>
      <c r="G57" s="42" t="s">
        <v>105</v>
      </c>
      <c r="H57" s="43">
        <f>38*1.06*1.03</f>
        <v>41.488400000000006</v>
      </c>
      <c r="I57" s="44"/>
      <c r="J57" s="45"/>
      <c r="K57" s="46"/>
      <c r="L57" s="17"/>
      <c r="M57" s="47"/>
      <c r="N57" s="18"/>
      <c r="O57" s="47"/>
      <c r="P57" s="17"/>
      <c r="Q57" s="47"/>
      <c r="R57" s="18"/>
      <c r="S57" s="48"/>
      <c r="T57" s="49"/>
      <c r="U57" s="48"/>
      <c r="V57" s="49"/>
      <c r="W57" s="29"/>
      <c r="X57" s="89" t="s">
        <v>127</v>
      </c>
    </row>
    <row r="58" spans="1:29" s="4" customFormat="1" ht="28.5" hidden="1" customHeight="1" x14ac:dyDescent="0.2">
      <c r="A58" s="86" t="s">
        <v>9</v>
      </c>
      <c r="B58" s="87"/>
      <c r="C58" s="93" t="s">
        <v>36</v>
      </c>
      <c r="D58" s="40" t="s">
        <v>194</v>
      </c>
      <c r="E58" s="41" t="s">
        <v>114</v>
      </c>
      <c r="F58" s="40"/>
      <c r="G58" s="42" t="s">
        <v>105</v>
      </c>
      <c r="H58" s="43">
        <f>2*23.83*1.03</f>
        <v>49.089799999999997</v>
      </c>
      <c r="I58" s="44"/>
      <c r="J58" s="45"/>
      <c r="K58" s="46"/>
      <c r="L58" s="17"/>
      <c r="M58" s="47"/>
      <c r="N58" s="18"/>
      <c r="O58" s="47"/>
      <c r="P58" s="17"/>
      <c r="Q58" s="47"/>
      <c r="R58" s="18"/>
      <c r="S58" s="48"/>
      <c r="T58" s="49"/>
      <c r="U58" s="48"/>
      <c r="V58" s="49"/>
      <c r="W58" s="29"/>
      <c r="X58" s="89" t="s">
        <v>127</v>
      </c>
    </row>
    <row r="59" spans="1:29" s="4" customFormat="1" ht="28.5" hidden="1" customHeight="1" x14ac:dyDescent="0.2">
      <c r="A59" s="86" t="s">
        <v>9</v>
      </c>
      <c r="B59" s="87"/>
      <c r="C59" s="93" t="s">
        <v>36</v>
      </c>
      <c r="D59" s="40" t="s">
        <v>194</v>
      </c>
      <c r="E59" s="41" t="s">
        <v>115</v>
      </c>
      <c r="F59" s="40"/>
      <c r="G59" s="42" t="s">
        <v>105</v>
      </c>
      <c r="H59" s="43">
        <f>17*17.55*1.03</f>
        <v>307.30050000000006</v>
      </c>
      <c r="I59" s="44"/>
      <c r="J59" s="45"/>
      <c r="K59" s="46"/>
      <c r="L59" s="17"/>
      <c r="M59" s="47"/>
      <c r="N59" s="18"/>
      <c r="O59" s="47"/>
      <c r="P59" s="17"/>
      <c r="Q59" s="47"/>
      <c r="R59" s="18"/>
      <c r="S59" s="48"/>
      <c r="T59" s="49"/>
      <c r="U59" s="48"/>
      <c r="V59" s="49"/>
      <c r="W59" s="29"/>
      <c r="X59" s="89" t="s">
        <v>127</v>
      </c>
    </row>
    <row r="60" spans="1:29" s="4" customFormat="1" ht="28.5" hidden="1" customHeight="1" x14ac:dyDescent="0.2">
      <c r="A60" s="86" t="s">
        <v>9</v>
      </c>
      <c r="B60" s="87"/>
      <c r="C60" s="93" t="s">
        <v>36</v>
      </c>
      <c r="D60" s="40" t="s">
        <v>194</v>
      </c>
      <c r="E60" s="41" t="s">
        <v>124</v>
      </c>
      <c r="F60" s="40"/>
      <c r="G60" s="42" t="s">
        <v>69</v>
      </c>
      <c r="H60" s="43">
        <v>38</v>
      </c>
      <c r="I60" s="44"/>
      <c r="J60" s="45"/>
      <c r="K60" s="46"/>
      <c r="L60" s="17"/>
      <c r="M60" s="47"/>
      <c r="N60" s="18"/>
      <c r="O60" s="47"/>
      <c r="P60" s="17"/>
      <c r="Q60" s="47"/>
      <c r="R60" s="18"/>
      <c r="S60" s="48"/>
      <c r="T60" s="49"/>
      <c r="U60" s="48"/>
      <c r="V60" s="49"/>
      <c r="W60" s="29"/>
      <c r="X60" s="8"/>
    </row>
    <row r="61" spans="1:29" s="69" customFormat="1" ht="28.5" customHeight="1" x14ac:dyDescent="0.2">
      <c r="A61" s="66" t="s">
        <v>8</v>
      </c>
      <c r="B61" s="33" t="s">
        <v>100</v>
      </c>
      <c r="C61" s="23" t="s">
        <v>36</v>
      </c>
      <c r="D61" s="23" t="s">
        <v>194</v>
      </c>
      <c r="E61" s="24" t="s">
        <v>354</v>
      </c>
      <c r="F61" s="36"/>
      <c r="G61" s="37" t="s">
        <v>119</v>
      </c>
      <c r="H61" s="38">
        <f>23.5</f>
        <v>23.5</v>
      </c>
      <c r="I61" s="25"/>
      <c r="J61" s="34"/>
      <c r="K61" s="32"/>
      <c r="L61" s="26"/>
      <c r="M61" s="67"/>
      <c r="N61" s="28"/>
      <c r="O61" s="67"/>
      <c r="P61" s="26"/>
      <c r="Q61" s="67"/>
      <c r="R61" s="28"/>
      <c r="S61" s="27"/>
      <c r="T61" s="28"/>
      <c r="U61" s="27"/>
      <c r="V61" s="28"/>
      <c r="W61" s="68"/>
      <c r="X61" s="88"/>
      <c r="Y61" s="88"/>
      <c r="Z61" s="88"/>
      <c r="AA61" s="88"/>
      <c r="AB61" s="88"/>
      <c r="AC61" s="88"/>
    </row>
    <row r="62" spans="1:29" s="4" customFormat="1" ht="28.5" hidden="1" customHeight="1" x14ac:dyDescent="0.2">
      <c r="A62" s="86" t="s">
        <v>9</v>
      </c>
      <c r="B62" s="87"/>
      <c r="C62" s="93" t="s">
        <v>36</v>
      </c>
      <c r="D62" s="40" t="s">
        <v>194</v>
      </c>
      <c r="E62" s="41" t="s">
        <v>116</v>
      </c>
      <c r="F62" s="40"/>
      <c r="G62" s="42" t="s">
        <v>113</v>
      </c>
      <c r="H62" s="43">
        <f>H61*2*1.12</f>
        <v>52.640000000000008</v>
      </c>
      <c r="I62" s="44"/>
      <c r="J62" s="45"/>
      <c r="K62" s="46"/>
      <c r="L62" s="17"/>
      <c r="M62" s="47"/>
      <c r="N62" s="18"/>
      <c r="O62" s="47"/>
      <c r="P62" s="17"/>
      <c r="Q62" s="47"/>
      <c r="R62" s="18"/>
      <c r="S62" s="48"/>
      <c r="T62" s="49"/>
      <c r="U62" s="48"/>
      <c r="V62" s="49"/>
      <c r="W62" s="29"/>
      <c r="X62" s="89" t="s">
        <v>187</v>
      </c>
    </row>
    <row r="63" spans="1:29" s="69" customFormat="1" ht="28.5" customHeight="1" x14ac:dyDescent="0.2">
      <c r="A63" s="66" t="s">
        <v>8</v>
      </c>
      <c r="B63" s="33" t="s">
        <v>357</v>
      </c>
      <c r="C63" s="23" t="s">
        <v>36</v>
      </c>
      <c r="D63" s="23" t="s">
        <v>194</v>
      </c>
      <c r="E63" s="24" t="s">
        <v>120</v>
      </c>
      <c r="F63" s="36"/>
      <c r="G63" s="37" t="s">
        <v>119</v>
      </c>
      <c r="H63" s="38">
        <f>H54*30</f>
        <v>85.021442699999994</v>
      </c>
      <c r="I63" s="25"/>
      <c r="J63" s="34"/>
      <c r="K63" s="32"/>
      <c r="L63" s="26"/>
      <c r="M63" s="67"/>
      <c r="N63" s="28"/>
      <c r="O63" s="67"/>
      <c r="P63" s="26"/>
      <c r="Q63" s="67"/>
      <c r="R63" s="28"/>
      <c r="S63" s="27"/>
      <c r="T63" s="28"/>
      <c r="U63" s="27"/>
      <c r="V63" s="28"/>
      <c r="W63" s="68"/>
      <c r="X63" s="88"/>
      <c r="Y63" s="88"/>
      <c r="Z63" s="88"/>
      <c r="AA63" s="88"/>
      <c r="AB63" s="88"/>
      <c r="AC63" s="88"/>
    </row>
    <row r="64" spans="1:29" s="4" customFormat="1" ht="28.5" hidden="1" customHeight="1" x14ac:dyDescent="0.2">
      <c r="A64" s="86" t="s">
        <v>9</v>
      </c>
      <c r="B64" s="87"/>
      <c r="C64" s="93" t="s">
        <v>36</v>
      </c>
      <c r="D64" s="40" t="s">
        <v>194</v>
      </c>
      <c r="E64" s="41" t="s">
        <v>118</v>
      </c>
      <c r="F64" s="40"/>
      <c r="G64" s="42" t="s">
        <v>105</v>
      </c>
      <c r="H64" s="43">
        <f>H63*0.08*1.13</f>
        <v>7.6859384200799985</v>
      </c>
      <c r="I64" s="44"/>
      <c r="J64" s="45"/>
      <c r="K64" s="46"/>
      <c r="L64" s="17"/>
      <c r="M64" s="47"/>
      <c r="N64" s="18"/>
      <c r="O64" s="47"/>
      <c r="P64" s="17"/>
      <c r="Q64" s="47"/>
      <c r="R64" s="18"/>
      <c r="S64" s="48"/>
      <c r="T64" s="49"/>
      <c r="U64" s="48"/>
      <c r="V64" s="49"/>
      <c r="W64" s="29"/>
      <c r="X64" s="89" t="s">
        <v>122</v>
      </c>
    </row>
    <row r="65" spans="1:29" s="4" customFormat="1" ht="28.5" hidden="1" customHeight="1" x14ac:dyDescent="0.2">
      <c r="A65" s="86" t="s">
        <v>9</v>
      </c>
      <c r="B65" s="87"/>
      <c r="C65" s="93" t="s">
        <v>36</v>
      </c>
      <c r="D65" s="40" t="s">
        <v>194</v>
      </c>
      <c r="E65" s="41" t="s">
        <v>121</v>
      </c>
      <c r="F65" s="40"/>
      <c r="G65" s="42" t="s">
        <v>105</v>
      </c>
      <c r="H65" s="43">
        <f>H63*0.14*2*1.13</f>
        <v>26.900784470279998</v>
      </c>
      <c r="I65" s="44"/>
      <c r="J65" s="45"/>
      <c r="K65" s="46"/>
      <c r="L65" s="17"/>
      <c r="M65" s="47"/>
      <c r="N65" s="18"/>
      <c r="O65" s="47"/>
      <c r="P65" s="17"/>
      <c r="Q65" s="47"/>
      <c r="R65" s="18"/>
      <c r="S65" s="48"/>
      <c r="T65" s="49"/>
      <c r="U65" s="48"/>
      <c r="V65" s="49"/>
      <c r="W65" s="29"/>
      <c r="X65" s="89" t="s">
        <v>123</v>
      </c>
    </row>
    <row r="66" spans="1:29" s="85" customFormat="1" ht="28.5" customHeight="1" x14ac:dyDescent="0.2">
      <c r="A66" s="70" t="s">
        <v>14</v>
      </c>
      <c r="B66" s="71">
        <v>4</v>
      </c>
      <c r="C66" s="72" t="s">
        <v>36</v>
      </c>
      <c r="D66" s="75" t="s">
        <v>194</v>
      </c>
      <c r="E66" s="74" t="s">
        <v>231</v>
      </c>
      <c r="F66" s="75"/>
      <c r="G66" s="73"/>
      <c r="H66" s="76"/>
      <c r="I66" s="77"/>
      <c r="J66" s="76"/>
      <c r="K66" s="78"/>
      <c r="L66" s="79"/>
      <c r="M66" s="80"/>
      <c r="N66" s="81"/>
      <c r="O66" s="82"/>
      <c r="P66" s="79"/>
      <c r="Q66" s="80"/>
      <c r="R66" s="81"/>
      <c r="S66" s="80"/>
      <c r="T66" s="83"/>
      <c r="U66" s="84"/>
      <c r="V66" s="83"/>
    </row>
    <row r="67" spans="1:29" s="69" customFormat="1" ht="28.5" customHeight="1" x14ac:dyDescent="0.2">
      <c r="A67" s="66" t="s">
        <v>8</v>
      </c>
      <c r="B67" s="33" t="s">
        <v>101</v>
      </c>
      <c r="C67" s="23" t="s">
        <v>36</v>
      </c>
      <c r="D67" s="23" t="s">
        <v>194</v>
      </c>
      <c r="E67" s="24" t="s">
        <v>351</v>
      </c>
      <c r="F67" s="36"/>
      <c r="G67" s="37" t="s">
        <v>128</v>
      </c>
      <c r="H67" s="38">
        <f>(0.38*0.38*0.23)*16</f>
        <v>0.53139199999999998</v>
      </c>
      <c r="I67" s="25"/>
      <c r="J67" s="34"/>
      <c r="K67" s="32"/>
      <c r="L67" s="26"/>
      <c r="M67" s="67"/>
      <c r="N67" s="28"/>
      <c r="O67" s="67"/>
      <c r="P67" s="26"/>
      <c r="Q67" s="67"/>
      <c r="R67" s="28"/>
      <c r="S67" s="27"/>
      <c r="T67" s="28"/>
      <c r="U67" s="27"/>
      <c r="V67" s="28"/>
      <c r="W67" s="68"/>
      <c r="X67" s="88"/>
      <c r="Y67" s="88"/>
      <c r="Z67" s="88"/>
      <c r="AA67" s="88"/>
      <c r="AB67" s="88"/>
      <c r="AC67" s="88"/>
    </row>
    <row r="68" spans="1:29" s="4" customFormat="1" ht="28.5" hidden="1" customHeight="1" x14ac:dyDescent="0.2">
      <c r="A68" s="86" t="s">
        <v>9</v>
      </c>
      <c r="B68" s="87"/>
      <c r="C68" s="93" t="s">
        <v>36</v>
      </c>
      <c r="D68" s="40" t="s">
        <v>194</v>
      </c>
      <c r="E68" s="41" t="s">
        <v>104</v>
      </c>
      <c r="F68" s="40"/>
      <c r="G68" s="42" t="s">
        <v>105</v>
      </c>
      <c r="H68" s="43">
        <f>(4.3*0.888)*16*1.04</f>
        <v>63.538176</v>
      </c>
      <c r="I68" s="44"/>
      <c r="J68" s="45"/>
      <c r="K68" s="46"/>
      <c r="L68" s="17"/>
      <c r="M68" s="47"/>
      <c r="N68" s="18"/>
      <c r="O68" s="47"/>
      <c r="P68" s="17"/>
      <c r="Q68" s="47"/>
      <c r="R68" s="18"/>
      <c r="S68" s="48"/>
      <c r="T68" s="49"/>
      <c r="U68" s="48"/>
      <c r="V68" s="49"/>
      <c r="W68" s="29"/>
      <c r="X68" s="89" t="s">
        <v>126</v>
      </c>
    </row>
    <row r="69" spans="1:29" s="4" customFormat="1" ht="28.5" hidden="1" customHeight="1" x14ac:dyDescent="0.2">
      <c r="A69" s="86" t="s">
        <v>9</v>
      </c>
      <c r="B69" s="87"/>
      <c r="C69" s="93" t="s">
        <v>36</v>
      </c>
      <c r="D69" s="40" t="s">
        <v>194</v>
      </c>
      <c r="E69" s="41" t="s">
        <v>106</v>
      </c>
      <c r="F69" s="40"/>
      <c r="G69" s="42" t="s">
        <v>69</v>
      </c>
      <c r="H69" s="43">
        <f>16</f>
        <v>16</v>
      </c>
      <c r="I69" s="44"/>
      <c r="J69" s="45"/>
      <c r="K69" s="46"/>
      <c r="L69" s="17"/>
      <c r="M69" s="47"/>
      <c r="N69" s="18"/>
      <c r="O69" s="47"/>
      <c r="P69" s="17"/>
      <c r="Q69" s="47"/>
      <c r="R69" s="18"/>
      <c r="S69" s="48"/>
      <c r="T69" s="49"/>
      <c r="U69" s="48"/>
      <c r="V69" s="49"/>
      <c r="W69" s="29"/>
      <c r="X69" s="8"/>
    </row>
    <row r="70" spans="1:29" s="4" customFormat="1" ht="28.5" hidden="1" customHeight="1" x14ac:dyDescent="0.2">
      <c r="A70" s="86" t="s">
        <v>9</v>
      </c>
      <c r="B70" s="87"/>
      <c r="C70" s="93" t="s">
        <v>36</v>
      </c>
      <c r="D70" s="40" t="s">
        <v>194</v>
      </c>
      <c r="E70" s="41" t="s">
        <v>108</v>
      </c>
      <c r="F70" s="40"/>
      <c r="G70" s="42" t="s">
        <v>107</v>
      </c>
      <c r="H70" s="43">
        <f>H67*1.05</f>
        <v>0.55796159999999995</v>
      </c>
      <c r="I70" s="44"/>
      <c r="J70" s="45"/>
      <c r="K70" s="46"/>
      <c r="L70" s="17"/>
      <c r="M70" s="47"/>
      <c r="N70" s="18"/>
      <c r="O70" s="47"/>
      <c r="P70" s="17"/>
      <c r="Q70" s="47"/>
      <c r="R70" s="18"/>
      <c r="S70" s="48"/>
      <c r="T70" s="49"/>
      <c r="U70" s="48"/>
      <c r="V70" s="49"/>
      <c r="W70" s="29"/>
      <c r="X70" s="92" t="s">
        <v>125</v>
      </c>
    </row>
    <row r="71" spans="1:29" s="69" customFormat="1" ht="28.5" customHeight="1" x14ac:dyDescent="0.2">
      <c r="A71" s="66" t="s">
        <v>8</v>
      </c>
      <c r="B71" s="33" t="s">
        <v>102</v>
      </c>
      <c r="C71" s="23" t="s">
        <v>36</v>
      </c>
      <c r="D71" s="23" t="s">
        <v>194</v>
      </c>
      <c r="E71" s="24" t="s">
        <v>356</v>
      </c>
      <c r="F71" s="36"/>
      <c r="G71" s="37" t="s">
        <v>128</v>
      </c>
      <c r="H71" s="38">
        <f>(0.38*0.3*0.2)*2</f>
        <v>4.5600000000000002E-2</v>
      </c>
      <c r="I71" s="25"/>
      <c r="J71" s="34"/>
      <c r="K71" s="32"/>
      <c r="L71" s="26"/>
      <c r="M71" s="67"/>
      <c r="N71" s="28"/>
      <c r="O71" s="67"/>
      <c r="P71" s="26"/>
      <c r="Q71" s="67"/>
      <c r="R71" s="28"/>
      <c r="S71" s="27"/>
      <c r="T71" s="28"/>
      <c r="U71" s="27"/>
      <c r="V71" s="28"/>
      <c r="W71" s="68"/>
      <c r="X71" s="88"/>
      <c r="Y71" s="88"/>
      <c r="Z71" s="88"/>
      <c r="AA71" s="88"/>
      <c r="AB71" s="88"/>
      <c r="AC71" s="88"/>
    </row>
    <row r="72" spans="1:29" s="4" customFormat="1" ht="28.5" hidden="1" customHeight="1" x14ac:dyDescent="0.2">
      <c r="A72" s="86" t="s">
        <v>9</v>
      </c>
      <c r="B72" s="87"/>
      <c r="C72" s="93" t="s">
        <v>36</v>
      </c>
      <c r="D72" s="40" t="s">
        <v>194</v>
      </c>
      <c r="E72" s="41" t="s">
        <v>104</v>
      </c>
      <c r="F72" s="40"/>
      <c r="G72" s="42" t="s">
        <v>105</v>
      </c>
      <c r="H72" s="43">
        <f>(4.3*0.888)*2*1.04</f>
        <v>7.942272</v>
      </c>
      <c r="I72" s="44"/>
      <c r="J72" s="45"/>
      <c r="K72" s="46"/>
      <c r="L72" s="17"/>
      <c r="M72" s="47"/>
      <c r="N72" s="18"/>
      <c r="O72" s="47"/>
      <c r="P72" s="17"/>
      <c r="Q72" s="47"/>
      <c r="R72" s="18"/>
      <c r="S72" s="48"/>
      <c r="T72" s="49"/>
      <c r="U72" s="48"/>
      <c r="V72" s="49"/>
      <c r="W72" s="29"/>
      <c r="X72" s="89" t="s">
        <v>126</v>
      </c>
    </row>
    <row r="73" spans="1:29" s="4" customFormat="1" ht="28.5" hidden="1" customHeight="1" x14ac:dyDescent="0.2">
      <c r="A73" s="86" t="s">
        <v>9</v>
      </c>
      <c r="B73" s="87"/>
      <c r="C73" s="93" t="s">
        <v>36</v>
      </c>
      <c r="D73" s="40" t="s">
        <v>194</v>
      </c>
      <c r="E73" s="41" t="s">
        <v>106</v>
      </c>
      <c r="F73" s="40"/>
      <c r="G73" s="42" t="s">
        <v>69</v>
      </c>
      <c r="H73" s="43">
        <f>2</f>
        <v>2</v>
      </c>
      <c r="I73" s="44"/>
      <c r="J73" s="45"/>
      <c r="K73" s="46"/>
      <c r="L73" s="17"/>
      <c r="M73" s="47"/>
      <c r="N73" s="18"/>
      <c r="O73" s="47"/>
      <c r="P73" s="17"/>
      <c r="Q73" s="47"/>
      <c r="R73" s="18"/>
      <c r="S73" s="48"/>
      <c r="T73" s="49"/>
      <c r="U73" s="48"/>
      <c r="V73" s="49"/>
      <c r="W73" s="29"/>
      <c r="X73" s="8"/>
    </row>
    <row r="74" spans="1:29" s="4" customFormat="1" ht="28.5" hidden="1" customHeight="1" x14ac:dyDescent="0.2">
      <c r="A74" s="86" t="s">
        <v>9</v>
      </c>
      <c r="B74" s="87"/>
      <c r="C74" s="93" t="s">
        <v>36</v>
      </c>
      <c r="D74" s="40" t="s">
        <v>194</v>
      </c>
      <c r="E74" s="41" t="s">
        <v>108</v>
      </c>
      <c r="F74" s="40"/>
      <c r="G74" s="42" t="s">
        <v>107</v>
      </c>
      <c r="H74" s="43">
        <f>H71*1.05</f>
        <v>4.7880000000000006E-2</v>
      </c>
      <c r="I74" s="44"/>
      <c r="J74" s="45"/>
      <c r="K74" s="46"/>
      <c r="L74" s="17"/>
      <c r="M74" s="47"/>
      <c r="N74" s="18"/>
      <c r="O74" s="47"/>
      <c r="P74" s="17"/>
      <c r="Q74" s="47"/>
      <c r="R74" s="18"/>
      <c r="S74" s="48"/>
      <c r="T74" s="49"/>
      <c r="U74" s="48"/>
      <c r="V74" s="49"/>
      <c r="W74" s="29"/>
      <c r="X74" s="92" t="s">
        <v>125</v>
      </c>
    </row>
    <row r="75" spans="1:29" s="69" customFormat="1" ht="28.5" customHeight="1" x14ac:dyDescent="0.2">
      <c r="A75" s="66" t="s">
        <v>8</v>
      </c>
      <c r="B75" s="33" t="s">
        <v>132</v>
      </c>
      <c r="C75" s="23" t="s">
        <v>36</v>
      </c>
      <c r="D75" s="23" t="s">
        <v>194</v>
      </c>
      <c r="E75" s="24" t="s">
        <v>352</v>
      </c>
      <c r="F75" s="36"/>
      <c r="G75" s="37" t="s">
        <v>110</v>
      </c>
      <c r="H75" s="38">
        <f>(H76+H77+H78+H79+H80)/1000</f>
        <v>3.6116290800000006</v>
      </c>
      <c r="I75" s="25"/>
      <c r="J75" s="34"/>
      <c r="K75" s="32"/>
      <c r="L75" s="26"/>
      <c r="M75" s="67"/>
      <c r="N75" s="28"/>
      <c r="O75" s="67"/>
      <c r="P75" s="26"/>
      <c r="Q75" s="67"/>
      <c r="R75" s="28"/>
      <c r="S75" s="27"/>
      <c r="T75" s="28"/>
      <c r="U75" s="27"/>
      <c r="V75" s="28"/>
      <c r="W75" s="68"/>
      <c r="X75" s="88"/>
      <c r="Y75" s="88"/>
      <c r="Z75" s="88"/>
      <c r="AA75" s="88"/>
      <c r="AB75" s="88"/>
      <c r="AC75" s="88"/>
    </row>
    <row r="76" spans="1:29" s="4" customFormat="1" ht="28.5" hidden="1" customHeight="1" x14ac:dyDescent="0.2">
      <c r="A76" s="86" t="s">
        <v>9</v>
      </c>
      <c r="B76" s="87"/>
      <c r="C76" s="93" t="s">
        <v>36</v>
      </c>
      <c r="D76" s="40" t="s">
        <v>194</v>
      </c>
      <c r="E76" s="41" t="s">
        <v>109</v>
      </c>
      <c r="F76" s="40"/>
      <c r="G76" s="42" t="s">
        <v>105</v>
      </c>
      <c r="H76" s="43">
        <f>60.64*49.9*1.03</f>
        <v>3116.7140800000002</v>
      </c>
      <c r="I76" s="44"/>
      <c r="J76" s="45"/>
      <c r="K76" s="46"/>
      <c r="L76" s="17"/>
      <c r="M76" s="47"/>
      <c r="N76" s="18"/>
      <c r="O76" s="47"/>
      <c r="P76" s="17"/>
      <c r="Q76" s="47"/>
      <c r="R76" s="18"/>
      <c r="S76" s="48"/>
      <c r="T76" s="49"/>
      <c r="U76" s="48"/>
      <c r="V76" s="49"/>
      <c r="W76" s="29"/>
      <c r="X76" s="89" t="s">
        <v>127</v>
      </c>
    </row>
    <row r="77" spans="1:29" s="4" customFormat="1" ht="28.5" hidden="1" customHeight="1" x14ac:dyDescent="0.2">
      <c r="A77" s="86" t="s">
        <v>9</v>
      </c>
      <c r="B77" s="87"/>
      <c r="C77" s="93" t="s">
        <v>36</v>
      </c>
      <c r="D77" s="40" t="s">
        <v>194</v>
      </c>
      <c r="E77" s="41" t="s">
        <v>111</v>
      </c>
      <c r="F77" s="40"/>
      <c r="G77" s="42" t="s">
        <v>105</v>
      </c>
      <c r="H77" s="43">
        <f>16*2.2*1.03</f>
        <v>36.256000000000007</v>
      </c>
      <c r="I77" s="44"/>
      <c r="J77" s="45"/>
      <c r="K77" s="46"/>
      <c r="L77" s="17"/>
      <c r="M77" s="47"/>
      <c r="N77" s="18"/>
      <c r="O77" s="47"/>
      <c r="P77" s="17"/>
      <c r="Q77" s="47"/>
      <c r="R77" s="18"/>
      <c r="S77" s="48"/>
      <c r="T77" s="49"/>
      <c r="U77" s="48"/>
      <c r="V77" s="49"/>
      <c r="W77" s="29"/>
      <c r="X77" s="89" t="s">
        <v>127</v>
      </c>
    </row>
    <row r="78" spans="1:29" s="4" customFormat="1" ht="28.5" hidden="1" customHeight="1" x14ac:dyDescent="0.2">
      <c r="A78" s="86" t="s">
        <v>9</v>
      </c>
      <c r="B78" s="87"/>
      <c r="C78" s="93" t="s">
        <v>36</v>
      </c>
      <c r="D78" s="40" t="s">
        <v>194</v>
      </c>
      <c r="E78" s="41" t="s">
        <v>112</v>
      </c>
      <c r="F78" s="40"/>
      <c r="G78" s="42" t="s">
        <v>105</v>
      </c>
      <c r="H78" s="43">
        <f>44*1.06*1.03</f>
        <v>48.039200000000001</v>
      </c>
      <c r="I78" s="44"/>
      <c r="J78" s="45"/>
      <c r="K78" s="46"/>
      <c r="L78" s="17"/>
      <c r="M78" s="47"/>
      <c r="N78" s="18"/>
      <c r="O78" s="47"/>
      <c r="P78" s="17"/>
      <c r="Q78" s="47"/>
      <c r="R78" s="18"/>
      <c r="S78" s="48"/>
      <c r="T78" s="49"/>
      <c r="U78" s="48"/>
      <c r="V78" s="49"/>
      <c r="W78" s="29"/>
      <c r="X78" s="89" t="s">
        <v>127</v>
      </c>
    </row>
    <row r="79" spans="1:29" s="4" customFormat="1" ht="28.5" hidden="1" customHeight="1" x14ac:dyDescent="0.2">
      <c r="A79" s="86" t="s">
        <v>9</v>
      </c>
      <c r="B79" s="87"/>
      <c r="C79" s="93" t="s">
        <v>36</v>
      </c>
      <c r="D79" s="40" t="s">
        <v>194</v>
      </c>
      <c r="E79" s="41" t="s">
        <v>114</v>
      </c>
      <c r="F79" s="40"/>
      <c r="G79" s="42" t="s">
        <v>105</v>
      </c>
      <c r="H79" s="43">
        <f>2*23.83*1.03</f>
        <v>49.089799999999997</v>
      </c>
      <c r="I79" s="44"/>
      <c r="J79" s="45"/>
      <c r="K79" s="46"/>
      <c r="L79" s="17"/>
      <c r="M79" s="47"/>
      <c r="N79" s="18"/>
      <c r="O79" s="47"/>
      <c r="P79" s="17"/>
      <c r="Q79" s="47"/>
      <c r="R79" s="18"/>
      <c r="S79" s="48"/>
      <c r="T79" s="49"/>
      <c r="U79" s="48"/>
      <c r="V79" s="49"/>
      <c r="W79" s="29"/>
      <c r="X79" s="89" t="s">
        <v>127</v>
      </c>
    </row>
    <row r="80" spans="1:29" s="4" customFormat="1" ht="28.5" hidden="1" customHeight="1" x14ac:dyDescent="0.2">
      <c r="A80" s="86" t="s">
        <v>9</v>
      </c>
      <c r="B80" s="87"/>
      <c r="C80" s="93" t="s">
        <v>36</v>
      </c>
      <c r="D80" s="40" t="s">
        <v>194</v>
      </c>
      <c r="E80" s="41" t="s">
        <v>115</v>
      </c>
      <c r="F80" s="40"/>
      <c r="G80" s="42" t="s">
        <v>105</v>
      </c>
      <c r="H80" s="43">
        <f>20*17.55*1.03</f>
        <v>361.53000000000003</v>
      </c>
      <c r="I80" s="44"/>
      <c r="J80" s="45"/>
      <c r="K80" s="46"/>
      <c r="L80" s="17"/>
      <c r="M80" s="47"/>
      <c r="N80" s="18"/>
      <c r="O80" s="47"/>
      <c r="P80" s="17"/>
      <c r="Q80" s="47"/>
      <c r="R80" s="18"/>
      <c r="S80" s="48"/>
      <c r="T80" s="49"/>
      <c r="U80" s="48"/>
      <c r="V80" s="49"/>
      <c r="W80" s="29"/>
      <c r="X80" s="89" t="s">
        <v>127</v>
      </c>
    </row>
    <row r="81" spans="1:30" s="4" customFormat="1" ht="28.5" hidden="1" customHeight="1" x14ac:dyDescent="0.2">
      <c r="A81" s="86" t="s">
        <v>9</v>
      </c>
      <c r="B81" s="87"/>
      <c r="C81" s="93" t="s">
        <v>36</v>
      </c>
      <c r="D81" s="40" t="s">
        <v>194</v>
      </c>
      <c r="E81" s="41" t="s">
        <v>124</v>
      </c>
      <c r="F81" s="40"/>
      <c r="G81" s="42" t="s">
        <v>69</v>
      </c>
      <c r="H81" s="43">
        <v>44</v>
      </c>
      <c r="I81" s="44"/>
      <c r="J81" s="45"/>
      <c r="K81" s="46"/>
      <c r="L81" s="17"/>
      <c r="M81" s="47"/>
      <c r="N81" s="18"/>
      <c r="O81" s="47"/>
      <c r="P81" s="17"/>
      <c r="Q81" s="47"/>
      <c r="R81" s="18"/>
      <c r="S81" s="48"/>
      <c r="T81" s="49"/>
      <c r="U81" s="48"/>
      <c r="V81" s="49"/>
      <c r="W81" s="29"/>
      <c r="X81" s="8"/>
    </row>
    <row r="82" spans="1:30" s="69" customFormat="1" ht="28.5" customHeight="1" x14ac:dyDescent="0.2">
      <c r="A82" s="66" t="s">
        <v>8</v>
      </c>
      <c r="B82" s="33" t="s">
        <v>133</v>
      </c>
      <c r="C82" s="23" t="s">
        <v>36</v>
      </c>
      <c r="D82" s="23" t="s">
        <v>194</v>
      </c>
      <c r="E82" s="24" t="s">
        <v>354</v>
      </c>
      <c r="F82" s="36"/>
      <c r="G82" s="37" t="s">
        <v>119</v>
      </c>
      <c r="H82" s="38">
        <f>30.3</f>
        <v>30.3</v>
      </c>
      <c r="I82" s="25"/>
      <c r="J82" s="34"/>
      <c r="K82" s="32"/>
      <c r="L82" s="26"/>
      <c r="M82" s="67"/>
      <c r="N82" s="28"/>
      <c r="O82" s="67"/>
      <c r="P82" s="26"/>
      <c r="Q82" s="67"/>
      <c r="R82" s="28"/>
      <c r="S82" s="27"/>
      <c r="T82" s="28"/>
      <c r="U82" s="27"/>
      <c r="V82" s="28"/>
      <c r="W82" s="68"/>
      <c r="X82" s="88"/>
      <c r="Y82" s="88"/>
      <c r="Z82" s="88"/>
      <c r="AA82" s="88"/>
      <c r="AB82" s="88"/>
      <c r="AC82" s="88"/>
    </row>
    <row r="83" spans="1:30" s="4" customFormat="1" ht="28.5" hidden="1" customHeight="1" x14ac:dyDescent="0.2">
      <c r="A83" s="86" t="s">
        <v>9</v>
      </c>
      <c r="B83" s="87"/>
      <c r="C83" s="93" t="s">
        <v>36</v>
      </c>
      <c r="D83" s="40" t="s">
        <v>194</v>
      </c>
      <c r="E83" s="41" t="s">
        <v>116</v>
      </c>
      <c r="F83" s="40"/>
      <c r="G83" s="42" t="s">
        <v>113</v>
      </c>
      <c r="H83" s="43">
        <f>H82*2*1.12</f>
        <v>67.872000000000014</v>
      </c>
      <c r="I83" s="44"/>
      <c r="J83" s="45"/>
      <c r="K83" s="46"/>
      <c r="L83" s="17"/>
      <c r="M83" s="47"/>
      <c r="N83" s="18"/>
      <c r="O83" s="47"/>
      <c r="P83" s="17"/>
      <c r="Q83" s="47"/>
      <c r="R83" s="18"/>
      <c r="S83" s="48"/>
      <c r="T83" s="49"/>
      <c r="U83" s="48"/>
      <c r="V83" s="49"/>
      <c r="W83" s="29"/>
      <c r="X83" s="89" t="s">
        <v>187</v>
      </c>
    </row>
    <row r="84" spans="1:30" s="69" customFormat="1" ht="28.5" customHeight="1" x14ac:dyDescent="0.2">
      <c r="A84" s="66" t="s">
        <v>8</v>
      </c>
      <c r="B84" s="33" t="s">
        <v>358</v>
      </c>
      <c r="C84" s="23" t="s">
        <v>36</v>
      </c>
      <c r="D84" s="23" t="s">
        <v>194</v>
      </c>
      <c r="E84" s="24" t="s">
        <v>120</v>
      </c>
      <c r="F84" s="36"/>
      <c r="G84" s="37" t="s">
        <v>119</v>
      </c>
      <c r="H84" s="38">
        <f>H75*30</f>
        <v>108.34887240000002</v>
      </c>
      <c r="I84" s="25"/>
      <c r="J84" s="34"/>
      <c r="K84" s="32"/>
      <c r="L84" s="26"/>
      <c r="M84" s="67"/>
      <c r="N84" s="28"/>
      <c r="O84" s="67"/>
      <c r="P84" s="26"/>
      <c r="Q84" s="67"/>
      <c r="R84" s="28"/>
      <c r="S84" s="27"/>
      <c r="T84" s="28"/>
      <c r="U84" s="27"/>
      <c r="V84" s="28"/>
      <c r="W84" s="68"/>
      <c r="X84" s="88"/>
      <c r="Y84" s="88"/>
      <c r="Z84" s="88"/>
      <c r="AA84" s="88"/>
      <c r="AB84" s="88"/>
      <c r="AC84" s="88"/>
    </row>
    <row r="85" spans="1:30" s="4" customFormat="1" ht="28.5" hidden="1" customHeight="1" x14ac:dyDescent="0.2">
      <c r="A85" s="86" t="s">
        <v>9</v>
      </c>
      <c r="B85" s="87"/>
      <c r="C85" s="93" t="s">
        <v>36</v>
      </c>
      <c r="D85" s="40" t="s">
        <v>194</v>
      </c>
      <c r="E85" s="41" t="s">
        <v>118</v>
      </c>
      <c r="F85" s="40"/>
      <c r="G85" s="42" t="s">
        <v>105</v>
      </c>
      <c r="H85" s="43">
        <f>H84*0.08*1.13</f>
        <v>9.7947380649600007</v>
      </c>
      <c r="I85" s="44"/>
      <c r="J85" s="45"/>
      <c r="K85" s="46"/>
      <c r="L85" s="17"/>
      <c r="M85" s="47"/>
      <c r="N85" s="18"/>
      <c r="O85" s="47"/>
      <c r="P85" s="17"/>
      <c r="Q85" s="47"/>
      <c r="R85" s="18"/>
      <c r="S85" s="48"/>
      <c r="T85" s="49"/>
      <c r="U85" s="48"/>
      <c r="V85" s="49"/>
      <c r="W85" s="29"/>
      <c r="X85" s="89" t="s">
        <v>122</v>
      </c>
    </row>
    <row r="86" spans="1:30" s="4" customFormat="1" ht="28.5" hidden="1" customHeight="1" x14ac:dyDescent="0.2">
      <c r="A86" s="86" t="s">
        <v>9</v>
      </c>
      <c r="B86" s="87"/>
      <c r="C86" s="93" t="s">
        <v>36</v>
      </c>
      <c r="D86" s="40" t="s">
        <v>194</v>
      </c>
      <c r="E86" s="41" t="s">
        <v>121</v>
      </c>
      <c r="F86" s="40"/>
      <c r="G86" s="42" t="s">
        <v>105</v>
      </c>
      <c r="H86" s="43">
        <f>H84*0.14*2*1.13</f>
        <v>34.281583227360002</v>
      </c>
      <c r="I86" s="44"/>
      <c r="J86" s="45"/>
      <c r="K86" s="46"/>
      <c r="L86" s="17"/>
      <c r="M86" s="47"/>
      <c r="N86" s="18"/>
      <c r="O86" s="47"/>
      <c r="P86" s="17"/>
      <c r="Q86" s="47"/>
      <c r="R86" s="18"/>
      <c r="S86" s="48"/>
      <c r="T86" s="49"/>
      <c r="U86" s="48"/>
      <c r="V86" s="49"/>
      <c r="W86" s="29"/>
      <c r="X86" s="89" t="s">
        <v>123</v>
      </c>
    </row>
    <row r="87" spans="1:30" s="64" customFormat="1" ht="28.5" customHeight="1" x14ac:dyDescent="0.2">
      <c r="A87" s="50" t="s">
        <v>14</v>
      </c>
      <c r="B87" s="94" t="s">
        <v>135</v>
      </c>
      <c r="C87" s="51" t="s">
        <v>36</v>
      </c>
      <c r="D87" s="52"/>
      <c r="E87" s="53" t="s">
        <v>137</v>
      </c>
      <c r="F87" s="54"/>
      <c r="G87" s="52"/>
      <c r="H87" s="55"/>
      <c r="I87" s="56"/>
      <c r="J87" s="55"/>
      <c r="K87" s="57"/>
      <c r="L87" s="58"/>
      <c r="M87" s="59"/>
      <c r="N87" s="60"/>
      <c r="O87" s="61"/>
      <c r="P87" s="58"/>
      <c r="Q87" s="59"/>
      <c r="R87" s="60"/>
      <c r="S87" s="59"/>
      <c r="T87" s="62"/>
      <c r="U87" s="63"/>
      <c r="V87" s="62"/>
    </row>
    <row r="88" spans="1:30" s="85" customFormat="1" ht="28.5" customHeight="1" x14ac:dyDescent="0.2">
      <c r="A88" s="70" t="s">
        <v>14</v>
      </c>
      <c r="B88" s="71">
        <v>5</v>
      </c>
      <c r="C88" s="72" t="s">
        <v>36</v>
      </c>
      <c r="D88" s="75" t="s">
        <v>139</v>
      </c>
      <c r="E88" s="74" t="s">
        <v>138</v>
      </c>
      <c r="F88" s="75"/>
      <c r="G88" s="73"/>
      <c r="H88" s="76"/>
      <c r="I88" s="77"/>
      <c r="J88" s="76"/>
      <c r="K88" s="78"/>
      <c r="L88" s="79"/>
      <c r="M88" s="80"/>
      <c r="N88" s="81"/>
      <c r="O88" s="82"/>
      <c r="P88" s="79"/>
      <c r="Q88" s="80"/>
      <c r="R88" s="81"/>
      <c r="S88" s="80"/>
      <c r="T88" s="83"/>
      <c r="U88" s="84"/>
      <c r="V88" s="83"/>
    </row>
    <row r="89" spans="1:30" s="69" customFormat="1" ht="38.25" x14ac:dyDescent="0.2">
      <c r="A89" s="66" t="s">
        <v>8</v>
      </c>
      <c r="B89" s="33" t="s">
        <v>103</v>
      </c>
      <c r="C89" s="23" t="s">
        <v>36</v>
      </c>
      <c r="D89" s="23" t="s">
        <v>139</v>
      </c>
      <c r="E89" s="24" t="s">
        <v>359</v>
      </c>
      <c r="F89" s="36"/>
      <c r="G89" s="37" t="s">
        <v>128</v>
      </c>
      <c r="H89" s="38">
        <f>SUM(H90:H125)/1.15</f>
        <v>34.31</v>
      </c>
      <c r="I89" s="25"/>
      <c r="J89" s="34"/>
      <c r="K89" s="32"/>
      <c r="L89" s="26"/>
      <c r="M89" s="67"/>
      <c r="N89" s="28"/>
      <c r="O89" s="67"/>
      <c r="P89" s="26"/>
      <c r="Q89" s="67"/>
      <c r="R89" s="28"/>
      <c r="S89" s="27"/>
      <c r="T89" s="28"/>
      <c r="U89" s="27"/>
      <c r="V89" s="28"/>
      <c r="W89" s="68"/>
      <c r="X89" s="114" t="s">
        <v>511</v>
      </c>
      <c r="Y89" s="114"/>
      <c r="Z89" s="114"/>
      <c r="AA89" s="96">
        <f>SUM(AA90:AA125)</f>
        <v>509.42480000000006</v>
      </c>
      <c r="AB89" s="88" t="s">
        <v>182</v>
      </c>
      <c r="AC89" s="88"/>
    </row>
    <row r="90" spans="1:30" ht="28.5" hidden="1" customHeight="1" x14ac:dyDescent="0.2">
      <c r="A90" s="13" t="s">
        <v>9</v>
      </c>
      <c r="B90" s="39"/>
      <c r="C90" s="93" t="s">
        <v>36</v>
      </c>
      <c r="D90" s="40" t="s">
        <v>139</v>
      </c>
      <c r="E90" s="41" t="s">
        <v>142</v>
      </c>
      <c r="F90" s="40"/>
      <c r="G90" s="42" t="s">
        <v>128</v>
      </c>
      <c r="H90" s="43">
        <f>1.74*1.15</f>
        <v>2.0009999999999999</v>
      </c>
      <c r="I90" s="44"/>
      <c r="J90" s="45"/>
      <c r="K90" s="46"/>
      <c r="L90" s="17"/>
      <c r="M90" s="47"/>
      <c r="N90" s="18"/>
      <c r="O90" s="47"/>
      <c r="P90" s="17"/>
      <c r="Q90" s="47"/>
      <c r="R90" s="18"/>
      <c r="S90" s="48"/>
      <c r="T90" s="49"/>
      <c r="U90" s="48"/>
      <c r="V90" s="49"/>
      <c r="W90" s="29"/>
      <c r="X90" s="89" t="s">
        <v>170</v>
      </c>
      <c r="Y90" s="8"/>
      <c r="Z90" s="8"/>
      <c r="AA90" s="95">
        <v>18</v>
      </c>
      <c r="AB90" s="8" t="s">
        <v>182</v>
      </c>
      <c r="AC90" s="8"/>
      <c r="AD90" s="8"/>
    </row>
    <row r="91" spans="1:30" ht="28.5" hidden="1" customHeight="1" x14ac:dyDescent="0.2">
      <c r="A91" s="13" t="s">
        <v>9</v>
      </c>
      <c r="B91" s="39"/>
      <c r="C91" s="93" t="s">
        <v>36</v>
      </c>
      <c r="D91" s="40" t="s">
        <v>139</v>
      </c>
      <c r="E91" s="41" t="s">
        <v>141</v>
      </c>
      <c r="F91" s="40"/>
      <c r="G91" s="42" t="s">
        <v>128</v>
      </c>
      <c r="H91" s="43">
        <f>2.52*1.15</f>
        <v>2.8979999999999997</v>
      </c>
      <c r="I91" s="44"/>
      <c r="J91" s="45"/>
      <c r="K91" s="46"/>
      <c r="L91" s="17"/>
      <c r="M91" s="47"/>
      <c r="N91" s="18"/>
      <c r="O91" s="47"/>
      <c r="P91" s="17"/>
      <c r="Q91" s="47"/>
      <c r="R91" s="18"/>
      <c r="S91" s="48"/>
      <c r="T91" s="49"/>
      <c r="U91" s="48"/>
      <c r="V91" s="49"/>
      <c r="W91" s="29"/>
      <c r="X91" s="89" t="s">
        <v>170</v>
      </c>
      <c r="Y91" s="8"/>
      <c r="Z91" s="8"/>
      <c r="AA91" s="95">
        <v>25.648</v>
      </c>
      <c r="AB91" s="8" t="s">
        <v>182</v>
      </c>
      <c r="AC91" s="8"/>
    </row>
    <row r="92" spans="1:30" ht="28.5" hidden="1" customHeight="1" x14ac:dyDescent="0.2">
      <c r="A92" s="13" t="s">
        <v>9</v>
      </c>
      <c r="B92" s="39"/>
      <c r="C92" s="93" t="s">
        <v>36</v>
      </c>
      <c r="D92" s="40" t="s">
        <v>139</v>
      </c>
      <c r="E92" s="41" t="s">
        <v>143</v>
      </c>
      <c r="F92" s="40"/>
      <c r="G92" s="42" t="s">
        <v>128</v>
      </c>
      <c r="H92" s="43">
        <f>6.41*1.15</f>
        <v>7.3714999999999993</v>
      </c>
      <c r="I92" s="44"/>
      <c r="J92" s="45"/>
      <c r="K92" s="46"/>
      <c r="L92" s="17"/>
      <c r="M92" s="47"/>
      <c r="N92" s="18"/>
      <c r="O92" s="47"/>
      <c r="P92" s="17"/>
      <c r="Q92" s="47"/>
      <c r="R92" s="18"/>
      <c r="S92" s="48"/>
      <c r="T92" s="49"/>
      <c r="U92" s="48"/>
      <c r="V92" s="49"/>
      <c r="W92" s="29"/>
      <c r="X92" s="89" t="s">
        <v>170</v>
      </c>
      <c r="Y92" s="8"/>
      <c r="Z92" s="8"/>
      <c r="AA92" s="95">
        <v>64.8</v>
      </c>
      <c r="AB92" s="8" t="s">
        <v>182</v>
      </c>
      <c r="AC92" s="8"/>
    </row>
    <row r="93" spans="1:30" ht="28.5" hidden="1" customHeight="1" x14ac:dyDescent="0.2">
      <c r="A93" s="13" t="s">
        <v>9</v>
      </c>
      <c r="B93" s="39"/>
      <c r="C93" s="93" t="s">
        <v>36</v>
      </c>
      <c r="D93" s="40" t="s">
        <v>139</v>
      </c>
      <c r="E93" s="41" t="s">
        <v>144</v>
      </c>
      <c r="F93" s="40"/>
      <c r="G93" s="42" t="s">
        <v>128</v>
      </c>
      <c r="H93" s="43">
        <f>0.39*1.15</f>
        <v>0.44849999999999995</v>
      </c>
      <c r="I93" s="44"/>
      <c r="J93" s="45"/>
      <c r="K93" s="46"/>
      <c r="L93" s="17"/>
      <c r="M93" s="47"/>
      <c r="N93" s="18"/>
      <c r="O93" s="47"/>
      <c r="P93" s="17"/>
      <c r="Q93" s="47"/>
      <c r="R93" s="18"/>
      <c r="S93" s="48"/>
      <c r="T93" s="49"/>
      <c r="U93" s="48"/>
      <c r="V93" s="49"/>
      <c r="W93" s="29"/>
      <c r="X93" s="89" t="s">
        <v>170</v>
      </c>
      <c r="Y93" s="8"/>
      <c r="Z93" s="8"/>
      <c r="AA93" s="95">
        <v>3.9</v>
      </c>
      <c r="AB93" s="8" t="s">
        <v>182</v>
      </c>
      <c r="AC93" s="8"/>
    </row>
    <row r="94" spans="1:30" ht="28.5" hidden="1" customHeight="1" x14ac:dyDescent="0.2">
      <c r="A94" s="13" t="s">
        <v>9</v>
      </c>
      <c r="B94" s="39"/>
      <c r="C94" s="93" t="s">
        <v>36</v>
      </c>
      <c r="D94" s="40" t="s">
        <v>139</v>
      </c>
      <c r="E94" s="41" t="s">
        <v>145</v>
      </c>
      <c r="F94" s="40"/>
      <c r="G94" s="42" t="s">
        <v>128</v>
      </c>
      <c r="H94" s="43">
        <f>0.62*1.15</f>
        <v>0.71299999999999997</v>
      </c>
      <c r="I94" s="44"/>
      <c r="J94" s="45"/>
      <c r="K94" s="46"/>
      <c r="L94" s="17"/>
      <c r="M94" s="47"/>
      <c r="N94" s="18"/>
      <c r="O94" s="47"/>
      <c r="P94" s="17"/>
      <c r="Q94" s="47"/>
      <c r="R94" s="18"/>
      <c r="S94" s="48"/>
      <c r="T94" s="49"/>
      <c r="U94" s="48"/>
      <c r="V94" s="49"/>
      <c r="W94" s="29"/>
      <c r="X94" s="89" t="s">
        <v>170</v>
      </c>
      <c r="Y94" s="8"/>
      <c r="Z94" s="8"/>
      <c r="AA94" s="95">
        <v>7.1749999999999998</v>
      </c>
      <c r="AB94" s="8" t="s">
        <v>182</v>
      </c>
      <c r="AC94" s="8"/>
    </row>
    <row r="95" spans="1:30" ht="28.5" hidden="1" customHeight="1" x14ac:dyDescent="0.2">
      <c r="A95" s="13" t="s">
        <v>9</v>
      </c>
      <c r="B95" s="39"/>
      <c r="C95" s="93" t="s">
        <v>36</v>
      </c>
      <c r="D95" s="40" t="s">
        <v>139</v>
      </c>
      <c r="E95" s="41" t="s">
        <v>146</v>
      </c>
      <c r="F95" s="40"/>
      <c r="G95" s="42" t="s">
        <v>128</v>
      </c>
      <c r="H95" s="43">
        <f>1*1.15</f>
        <v>1.1499999999999999</v>
      </c>
      <c r="I95" s="44"/>
      <c r="J95" s="45"/>
      <c r="K95" s="46"/>
      <c r="L95" s="17"/>
      <c r="M95" s="47"/>
      <c r="N95" s="18"/>
      <c r="O95" s="47"/>
      <c r="P95" s="17"/>
      <c r="Q95" s="47"/>
      <c r="R95" s="18"/>
      <c r="S95" s="48"/>
      <c r="T95" s="49"/>
      <c r="U95" s="48"/>
      <c r="V95" s="49"/>
      <c r="W95" s="29"/>
      <c r="X95" s="89" t="s">
        <v>170</v>
      </c>
      <c r="Y95" s="8"/>
      <c r="Z95" s="8"/>
      <c r="AA95" s="95">
        <v>10.8</v>
      </c>
      <c r="AB95" s="8" t="s">
        <v>182</v>
      </c>
      <c r="AC95" s="8"/>
    </row>
    <row r="96" spans="1:30" ht="28.5" hidden="1" customHeight="1" x14ac:dyDescent="0.2">
      <c r="A96" s="13" t="s">
        <v>9</v>
      </c>
      <c r="B96" s="39"/>
      <c r="C96" s="93" t="s">
        <v>36</v>
      </c>
      <c r="D96" s="40" t="s">
        <v>139</v>
      </c>
      <c r="E96" s="41" t="s">
        <v>147</v>
      </c>
      <c r="F96" s="40"/>
      <c r="G96" s="42" t="s">
        <v>128</v>
      </c>
      <c r="H96" s="43">
        <f>0.19*1.15</f>
        <v>0.21849999999999997</v>
      </c>
      <c r="I96" s="44"/>
      <c r="J96" s="45"/>
      <c r="K96" s="46"/>
      <c r="L96" s="17"/>
      <c r="M96" s="47"/>
      <c r="N96" s="18"/>
      <c r="O96" s="47"/>
      <c r="P96" s="17"/>
      <c r="Q96" s="47"/>
      <c r="R96" s="18"/>
      <c r="S96" s="48"/>
      <c r="T96" s="49"/>
      <c r="U96" s="48"/>
      <c r="V96" s="49"/>
      <c r="W96" s="29"/>
      <c r="X96" s="89" t="s">
        <v>170</v>
      </c>
      <c r="Y96" s="8"/>
      <c r="Z96" s="8"/>
      <c r="AA96" s="95">
        <v>2.4</v>
      </c>
      <c r="AB96" s="8" t="s">
        <v>182</v>
      </c>
      <c r="AC96" s="8"/>
    </row>
    <row r="97" spans="1:29" ht="28.5" hidden="1" customHeight="1" x14ac:dyDescent="0.2">
      <c r="A97" s="13" t="s">
        <v>9</v>
      </c>
      <c r="B97" s="39"/>
      <c r="C97" s="93" t="s">
        <v>36</v>
      </c>
      <c r="D97" s="40" t="s">
        <v>139</v>
      </c>
      <c r="E97" s="41" t="s">
        <v>148</v>
      </c>
      <c r="F97" s="40"/>
      <c r="G97" s="42" t="s">
        <v>128</v>
      </c>
      <c r="H97" s="43">
        <f>0.19*1.15</f>
        <v>0.21849999999999997</v>
      </c>
      <c r="I97" s="44"/>
      <c r="J97" s="45"/>
      <c r="K97" s="46"/>
      <c r="L97" s="17"/>
      <c r="M97" s="47"/>
      <c r="N97" s="18"/>
      <c r="O97" s="47"/>
      <c r="P97" s="17"/>
      <c r="Q97" s="47"/>
      <c r="R97" s="18"/>
      <c r="S97" s="48"/>
      <c r="T97" s="49"/>
      <c r="U97" s="48"/>
      <c r="V97" s="49"/>
      <c r="W97" s="29"/>
      <c r="X97" s="89" t="s">
        <v>170</v>
      </c>
      <c r="Y97" s="8"/>
      <c r="Z97" s="8"/>
      <c r="AA97" s="95">
        <v>2.4</v>
      </c>
      <c r="AB97" s="8" t="s">
        <v>182</v>
      </c>
      <c r="AC97" s="8"/>
    </row>
    <row r="98" spans="1:29" ht="28.5" hidden="1" customHeight="1" x14ac:dyDescent="0.2">
      <c r="A98" s="13" t="s">
        <v>9</v>
      </c>
      <c r="B98" s="39"/>
      <c r="C98" s="93" t="s">
        <v>36</v>
      </c>
      <c r="D98" s="40" t="s">
        <v>139</v>
      </c>
      <c r="E98" s="41" t="s">
        <v>147</v>
      </c>
      <c r="F98" s="40"/>
      <c r="G98" s="42" t="s">
        <v>128</v>
      </c>
      <c r="H98" s="43">
        <f>0.74*1.15</f>
        <v>0.85099999999999998</v>
      </c>
      <c r="I98" s="44"/>
      <c r="J98" s="45"/>
      <c r="K98" s="46"/>
      <c r="L98" s="17"/>
      <c r="M98" s="47"/>
      <c r="N98" s="18"/>
      <c r="O98" s="47"/>
      <c r="P98" s="17"/>
      <c r="Q98" s="47"/>
      <c r="R98" s="18"/>
      <c r="S98" s="48"/>
      <c r="T98" s="49"/>
      <c r="U98" s="48"/>
      <c r="V98" s="49"/>
      <c r="W98" s="29"/>
      <c r="X98" s="89" t="s">
        <v>170</v>
      </c>
      <c r="Y98" s="8"/>
      <c r="Z98" s="8"/>
      <c r="AA98" s="95">
        <v>8.4</v>
      </c>
      <c r="AB98" s="8" t="s">
        <v>182</v>
      </c>
      <c r="AC98" s="8"/>
    </row>
    <row r="99" spans="1:29" ht="28.5" hidden="1" customHeight="1" x14ac:dyDescent="0.2">
      <c r="A99" s="13" t="s">
        <v>9</v>
      </c>
      <c r="B99" s="39"/>
      <c r="C99" s="93" t="s">
        <v>36</v>
      </c>
      <c r="D99" s="40" t="s">
        <v>139</v>
      </c>
      <c r="E99" s="41" t="s">
        <v>149</v>
      </c>
      <c r="F99" s="40"/>
      <c r="G99" s="42" t="s">
        <v>128</v>
      </c>
      <c r="H99" s="43">
        <f>0.3*1.15</f>
        <v>0.34499999999999997</v>
      </c>
      <c r="I99" s="44"/>
      <c r="J99" s="45"/>
      <c r="K99" s="46"/>
      <c r="L99" s="17"/>
      <c r="M99" s="47"/>
      <c r="N99" s="18"/>
      <c r="O99" s="47"/>
      <c r="P99" s="17"/>
      <c r="Q99" s="47"/>
      <c r="R99" s="18"/>
      <c r="S99" s="48"/>
      <c r="T99" s="49"/>
      <c r="U99" s="48"/>
      <c r="V99" s="49"/>
      <c r="W99" s="29"/>
      <c r="X99" s="89" t="s">
        <v>170</v>
      </c>
      <c r="Y99" s="8"/>
      <c r="Z99" s="8"/>
      <c r="AA99" s="95">
        <v>3.6</v>
      </c>
      <c r="AB99" s="8" t="s">
        <v>182</v>
      </c>
      <c r="AC99" s="8"/>
    </row>
    <row r="100" spans="1:29" ht="28.5" hidden="1" customHeight="1" x14ac:dyDescent="0.2">
      <c r="A100" s="13" t="s">
        <v>9</v>
      </c>
      <c r="B100" s="39"/>
      <c r="C100" s="93" t="s">
        <v>36</v>
      </c>
      <c r="D100" s="40" t="s">
        <v>139</v>
      </c>
      <c r="E100" s="41" t="s">
        <v>211</v>
      </c>
      <c r="F100" s="40"/>
      <c r="G100" s="42" t="s">
        <v>128</v>
      </c>
      <c r="H100" s="43">
        <f>0.7*1.15</f>
        <v>0.80499999999999994</v>
      </c>
      <c r="I100" s="44"/>
      <c r="J100" s="45"/>
      <c r="K100" s="46"/>
      <c r="L100" s="17"/>
      <c r="M100" s="47"/>
      <c r="N100" s="18"/>
      <c r="O100" s="47"/>
      <c r="P100" s="17"/>
      <c r="Q100" s="47"/>
      <c r="R100" s="18"/>
      <c r="S100" s="48"/>
      <c r="T100" s="49"/>
      <c r="U100" s="48"/>
      <c r="V100" s="49"/>
      <c r="W100" s="29"/>
      <c r="X100" s="89" t="s">
        <v>170</v>
      </c>
      <c r="Y100" s="8"/>
      <c r="Z100" s="8"/>
      <c r="AA100" s="95">
        <v>14.007</v>
      </c>
      <c r="AB100" s="8" t="s">
        <v>182</v>
      </c>
      <c r="AC100" s="8"/>
    </row>
    <row r="101" spans="1:29" ht="28.5" hidden="1" customHeight="1" x14ac:dyDescent="0.2">
      <c r="A101" s="13" t="s">
        <v>9</v>
      </c>
      <c r="B101" s="39"/>
      <c r="C101" s="93" t="s">
        <v>36</v>
      </c>
      <c r="D101" s="40" t="s">
        <v>139</v>
      </c>
      <c r="E101" s="41" t="s">
        <v>212</v>
      </c>
      <c r="F101" s="40"/>
      <c r="G101" s="42" t="s">
        <v>128</v>
      </c>
      <c r="H101" s="43">
        <f>0.06*1.15</f>
        <v>6.8999999999999992E-2</v>
      </c>
      <c r="I101" s="44"/>
      <c r="J101" s="45"/>
      <c r="K101" s="46"/>
      <c r="L101" s="17"/>
      <c r="M101" s="47"/>
      <c r="N101" s="18"/>
      <c r="O101" s="47"/>
      <c r="P101" s="17"/>
      <c r="Q101" s="47"/>
      <c r="R101" s="18"/>
      <c r="S101" s="48"/>
      <c r="T101" s="49"/>
      <c r="U101" s="48"/>
      <c r="V101" s="49"/>
      <c r="W101" s="29"/>
      <c r="X101" s="89" t="s">
        <v>170</v>
      </c>
      <c r="Y101" s="8"/>
      <c r="Z101" s="8"/>
      <c r="AA101" s="95">
        <v>1.23</v>
      </c>
      <c r="AB101" s="8" t="s">
        <v>182</v>
      </c>
      <c r="AC101" s="8"/>
    </row>
    <row r="102" spans="1:29" ht="28.5" hidden="1" customHeight="1" x14ac:dyDescent="0.2">
      <c r="A102" s="13" t="s">
        <v>9</v>
      </c>
      <c r="B102" s="39"/>
      <c r="C102" s="93" t="s">
        <v>36</v>
      </c>
      <c r="D102" s="40" t="s">
        <v>139</v>
      </c>
      <c r="E102" s="41" t="s">
        <v>150</v>
      </c>
      <c r="F102" s="40"/>
      <c r="G102" s="42" t="s">
        <v>128</v>
      </c>
      <c r="H102" s="43">
        <f>1.18*1.15</f>
        <v>1.3569999999999998</v>
      </c>
      <c r="I102" s="44"/>
      <c r="J102" s="45"/>
      <c r="K102" s="46"/>
      <c r="L102" s="17"/>
      <c r="M102" s="47"/>
      <c r="N102" s="18"/>
      <c r="O102" s="47"/>
      <c r="P102" s="17"/>
      <c r="Q102" s="47"/>
      <c r="R102" s="18"/>
      <c r="S102" s="48"/>
      <c r="T102" s="49"/>
      <c r="U102" s="48"/>
      <c r="V102" s="49"/>
      <c r="W102" s="29"/>
      <c r="X102" s="89" t="s">
        <v>170</v>
      </c>
      <c r="Y102" s="8"/>
      <c r="Z102" s="8"/>
      <c r="AA102" s="95">
        <v>11.808</v>
      </c>
      <c r="AB102" s="8" t="s">
        <v>182</v>
      </c>
      <c r="AC102" s="8"/>
    </row>
    <row r="103" spans="1:29" ht="28.5" hidden="1" customHeight="1" x14ac:dyDescent="0.2">
      <c r="A103" s="13" t="s">
        <v>9</v>
      </c>
      <c r="B103" s="39"/>
      <c r="C103" s="93" t="s">
        <v>36</v>
      </c>
      <c r="D103" s="40" t="s">
        <v>139</v>
      </c>
      <c r="E103" s="41" t="s">
        <v>151</v>
      </c>
      <c r="F103" s="40"/>
      <c r="G103" s="42" t="s">
        <v>128</v>
      </c>
      <c r="H103" s="43">
        <f>0.19*1.15</f>
        <v>0.21849999999999997</v>
      </c>
      <c r="I103" s="44"/>
      <c r="J103" s="45"/>
      <c r="K103" s="46"/>
      <c r="L103" s="17"/>
      <c r="M103" s="47"/>
      <c r="N103" s="18"/>
      <c r="O103" s="47"/>
      <c r="P103" s="17"/>
      <c r="Q103" s="47"/>
      <c r="R103" s="18"/>
      <c r="S103" s="48"/>
      <c r="T103" s="49"/>
      <c r="U103" s="48"/>
      <c r="V103" s="49"/>
      <c r="W103" s="29"/>
      <c r="X103" s="89" t="s">
        <v>170</v>
      </c>
      <c r="Y103" s="8"/>
      <c r="Z103" s="8"/>
      <c r="AA103" s="95">
        <v>1.9950000000000001</v>
      </c>
      <c r="AB103" s="8" t="s">
        <v>182</v>
      </c>
      <c r="AC103" s="8"/>
    </row>
    <row r="104" spans="1:29" ht="28.5" hidden="1" customHeight="1" x14ac:dyDescent="0.2">
      <c r="A104" s="13" t="s">
        <v>9</v>
      </c>
      <c r="B104" s="39"/>
      <c r="C104" s="93" t="s">
        <v>36</v>
      </c>
      <c r="D104" s="40" t="s">
        <v>139</v>
      </c>
      <c r="E104" s="41" t="s">
        <v>152</v>
      </c>
      <c r="F104" s="40"/>
      <c r="G104" s="42" t="s">
        <v>128</v>
      </c>
      <c r="H104" s="43">
        <f>0.85*1.15</f>
        <v>0.97749999999999992</v>
      </c>
      <c r="I104" s="44"/>
      <c r="J104" s="45"/>
      <c r="K104" s="46"/>
      <c r="L104" s="17"/>
      <c r="M104" s="47"/>
      <c r="N104" s="18"/>
      <c r="O104" s="47"/>
      <c r="P104" s="17"/>
      <c r="Q104" s="47"/>
      <c r="R104" s="18"/>
      <c r="S104" s="48"/>
      <c r="T104" s="49"/>
      <c r="U104" s="48"/>
      <c r="V104" s="49"/>
      <c r="W104" s="29"/>
      <c r="X104" s="89" t="s">
        <v>170</v>
      </c>
      <c r="Y104" s="8"/>
      <c r="Z104" s="8"/>
      <c r="AA104" s="95">
        <v>8.9347999999999992</v>
      </c>
      <c r="AB104" s="8" t="s">
        <v>182</v>
      </c>
      <c r="AC104" s="8"/>
    </row>
    <row r="105" spans="1:29" ht="28.5" hidden="1" customHeight="1" x14ac:dyDescent="0.2">
      <c r="A105" s="13" t="s">
        <v>9</v>
      </c>
      <c r="B105" s="39"/>
      <c r="C105" s="93" t="s">
        <v>36</v>
      </c>
      <c r="D105" s="40" t="s">
        <v>139</v>
      </c>
      <c r="E105" s="41" t="s">
        <v>153</v>
      </c>
      <c r="F105" s="40"/>
      <c r="G105" s="42" t="s">
        <v>128</v>
      </c>
      <c r="H105" s="43">
        <f>0.14*1.15</f>
        <v>0.161</v>
      </c>
      <c r="I105" s="44"/>
      <c r="J105" s="45"/>
      <c r="K105" s="46"/>
      <c r="L105" s="17"/>
      <c r="M105" s="47"/>
      <c r="N105" s="18"/>
      <c r="O105" s="47"/>
      <c r="P105" s="17"/>
      <c r="Q105" s="47"/>
      <c r="R105" s="18"/>
      <c r="S105" s="48"/>
      <c r="T105" s="49"/>
      <c r="U105" s="48"/>
      <c r="V105" s="49"/>
      <c r="W105" s="29"/>
      <c r="X105" s="89" t="s">
        <v>170</v>
      </c>
      <c r="Y105" s="8"/>
      <c r="Z105" s="8"/>
      <c r="AA105" s="95">
        <v>0.93600000000000005</v>
      </c>
      <c r="AB105" s="8" t="s">
        <v>182</v>
      </c>
      <c r="AC105" s="8"/>
    </row>
    <row r="106" spans="1:29" ht="28.5" hidden="1" customHeight="1" x14ac:dyDescent="0.2">
      <c r="A106" s="13" t="s">
        <v>9</v>
      </c>
      <c r="B106" s="39"/>
      <c r="C106" s="93" t="s">
        <v>36</v>
      </c>
      <c r="D106" s="40" t="s">
        <v>139</v>
      </c>
      <c r="E106" s="41" t="s">
        <v>154</v>
      </c>
      <c r="F106" s="40"/>
      <c r="G106" s="42" t="s">
        <v>128</v>
      </c>
      <c r="H106" s="43">
        <f>0.08*1.15</f>
        <v>9.1999999999999998E-2</v>
      </c>
      <c r="I106" s="44"/>
      <c r="J106" s="45"/>
      <c r="K106" s="46"/>
      <c r="L106" s="17"/>
      <c r="M106" s="47"/>
      <c r="N106" s="18"/>
      <c r="O106" s="47"/>
      <c r="P106" s="17"/>
      <c r="Q106" s="47"/>
      <c r="R106" s="18"/>
      <c r="S106" s="48"/>
      <c r="T106" s="49"/>
      <c r="U106" s="48"/>
      <c r="V106" s="49"/>
      <c r="W106" s="29"/>
      <c r="X106" s="89" t="s">
        <v>170</v>
      </c>
      <c r="Y106" s="8"/>
      <c r="Z106" s="8"/>
      <c r="AA106" s="95">
        <v>0.55200000000000005</v>
      </c>
      <c r="AB106" s="8" t="s">
        <v>182</v>
      </c>
      <c r="AC106" s="8"/>
    </row>
    <row r="107" spans="1:29" ht="28.5" hidden="1" customHeight="1" x14ac:dyDescent="0.2">
      <c r="A107" s="13" t="s">
        <v>9</v>
      </c>
      <c r="B107" s="39"/>
      <c r="C107" s="93" t="s">
        <v>36</v>
      </c>
      <c r="D107" s="40" t="s">
        <v>139</v>
      </c>
      <c r="E107" s="41" t="s">
        <v>155</v>
      </c>
      <c r="F107" s="40"/>
      <c r="G107" s="42" t="s">
        <v>128</v>
      </c>
      <c r="H107" s="43">
        <f>0.05*1.15</f>
        <v>5.7499999999999996E-2</v>
      </c>
      <c r="I107" s="44"/>
      <c r="J107" s="45"/>
      <c r="K107" s="46"/>
      <c r="L107" s="17"/>
      <c r="M107" s="47"/>
      <c r="N107" s="18"/>
      <c r="O107" s="47"/>
      <c r="P107" s="17"/>
      <c r="Q107" s="47"/>
      <c r="R107" s="18"/>
      <c r="S107" s="48"/>
      <c r="T107" s="49"/>
      <c r="U107" s="48"/>
      <c r="V107" s="49"/>
      <c r="W107" s="29"/>
      <c r="X107" s="89" t="s">
        <v>170</v>
      </c>
      <c r="Y107" s="8"/>
      <c r="Z107" s="8"/>
      <c r="AA107" s="95">
        <v>0.63900000000000001</v>
      </c>
      <c r="AB107" s="8" t="s">
        <v>182</v>
      </c>
      <c r="AC107" s="8"/>
    </row>
    <row r="108" spans="1:29" ht="28.5" hidden="1" customHeight="1" x14ac:dyDescent="0.2">
      <c r="A108" s="13" t="s">
        <v>9</v>
      </c>
      <c r="B108" s="39"/>
      <c r="C108" s="93" t="s">
        <v>36</v>
      </c>
      <c r="D108" s="40" t="s">
        <v>139</v>
      </c>
      <c r="E108" s="41" t="s">
        <v>156</v>
      </c>
      <c r="F108" s="40"/>
      <c r="G108" s="42" t="s">
        <v>128</v>
      </c>
      <c r="H108" s="43">
        <f>0.09*1.15</f>
        <v>0.10349999999999999</v>
      </c>
      <c r="I108" s="44"/>
      <c r="J108" s="45"/>
      <c r="K108" s="46"/>
      <c r="L108" s="17"/>
      <c r="M108" s="47"/>
      <c r="N108" s="18"/>
      <c r="O108" s="47"/>
      <c r="P108" s="17"/>
      <c r="Q108" s="47"/>
      <c r="R108" s="18"/>
      <c r="S108" s="48"/>
      <c r="T108" s="49"/>
      <c r="U108" s="48"/>
      <c r="V108" s="49"/>
      <c r="W108" s="29"/>
      <c r="X108" s="89" t="s">
        <v>170</v>
      </c>
      <c r="Y108" s="8"/>
      <c r="Z108" s="8"/>
      <c r="AA108" s="95">
        <v>1.2</v>
      </c>
      <c r="AB108" s="8" t="s">
        <v>182</v>
      </c>
      <c r="AC108" s="8"/>
    </row>
    <row r="109" spans="1:29" ht="28.5" hidden="1" customHeight="1" x14ac:dyDescent="0.2">
      <c r="A109" s="13" t="s">
        <v>9</v>
      </c>
      <c r="B109" s="39"/>
      <c r="C109" s="93" t="s">
        <v>36</v>
      </c>
      <c r="D109" s="40" t="s">
        <v>139</v>
      </c>
      <c r="E109" s="41" t="s">
        <v>157</v>
      </c>
      <c r="F109" s="40"/>
      <c r="G109" s="42" t="s">
        <v>128</v>
      </c>
      <c r="H109" s="43">
        <f>0.93*1.15</f>
        <v>1.0694999999999999</v>
      </c>
      <c r="I109" s="44"/>
      <c r="J109" s="45"/>
      <c r="K109" s="46"/>
      <c r="L109" s="17"/>
      <c r="M109" s="47"/>
      <c r="N109" s="18"/>
      <c r="O109" s="47"/>
      <c r="P109" s="17"/>
      <c r="Q109" s="47"/>
      <c r="R109" s="18"/>
      <c r="S109" s="48"/>
      <c r="T109" s="49"/>
      <c r="U109" s="48"/>
      <c r="V109" s="49"/>
      <c r="W109" s="29"/>
      <c r="X109" s="89" t="s">
        <v>170</v>
      </c>
      <c r="Y109" s="8"/>
      <c r="Z109" s="8"/>
      <c r="AA109" s="95">
        <v>6.3</v>
      </c>
      <c r="AB109" s="8" t="s">
        <v>182</v>
      </c>
      <c r="AC109" s="8"/>
    </row>
    <row r="110" spans="1:29" ht="28.5" hidden="1" customHeight="1" x14ac:dyDescent="0.2">
      <c r="A110" s="13" t="s">
        <v>9</v>
      </c>
      <c r="B110" s="39"/>
      <c r="C110" s="93" t="s">
        <v>36</v>
      </c>
      <c r="D110" s="40" t="s">
        <v>139</v>
      </c>
      <c r="E110" s="41" t="s">
        <v>158</v>
      </c>
      <c r="F110" s="40"/>
      <c r="G110" s="42" t="s">
        <v>128</v>
      </c>
      <c r="H110" s="43">
        <f>0.07*1.15</f>
        <v>8.0500000000000002E-2</v>
      </c>
      <c r="I110" s="44"/>
      <c r="J110" s="45"/>
      <c r="K110" s="46"/>
      <c r="L110" s="17"/>
      <c r="M110" s="47"/>
      <c r="N110" s="18"/>
      <c r="O110" s="47"/>
      <c r="P110" s="17"/>
      <c r="Q110" s="47"/>
      <c r="R110" s="18"/>
      <c r="S110" s="48"/>
      <c r="T110" s="49"/>
      <c r="U110" s="48"/>
      <c r="V110" s="49"/>
      <c r="W110" s="29"/>
      <c r="X110" s="89" t="s">
        <v>170</v>
      </c>
      <c r="Y110" s="8"/>
      <c r="Z110" s="8"/>
      <c r="AA110" s="95">
        <v>0.9</v>
      </c>
      <c r="AB110" s="8" t="s">
        <v>182</v>
      </c>
      <c r="AC110" s="8"/>
    </row>
    <row r="111" spans="1:29" ht="28.5" hidden="1" customHeight="1" x14ac:dyDescent="0.2">
      <c r="A111" s="13" t="s">
        <v>9</v>
      </c>
      <c r="B111" s="39"/>
      <c r="C111" s="93" t="s">
        <v>36</v>
      </c>
      <c r="D111" s="40" t="s">
        <v>139</v>
      </c>
      <c r="E111" s="41" t="s">
        <v>159</v>
      </c>
      <c r="F111" s="40"/>
      <c r="G111" s="42" t="s">
        <v>128</v>
      </c>
      <c r="H111" s="43">
        <f>0.36*1.15</f>
        <v>0.41399999999999998</v>
      </c>
      <c r="I111" s="44"/>
      <c r="J111" s="45"/>
      <c r="K111" s="46"/>
      <c r="L111" s="17"/>
      <c r="M111" s="47"/>
      <c r="N111" s="18"/>
      <c r="O111" s="47"/>
      <c r="P111" s="17"/>
      <c r="Q111" s="47"/>
      <c r="R111" s="18"/>
      <c r="S111" s="48"/>
      <c r="T111" s="49"/>
      <c r="U111" s="48"/>
      <c r="V111" s="49"/>
      <c r="W111" s="29"/>
      <c r="X111" s="89" t="s">
        <v>170</v>
      </c>
      <c r="Y111" s="8"/>
      <c r="Z111" s="8"/>
      <c r="AA111" s="95">
        <v>2.4</v>
      </c>
      <c r="AB111" s="8" t="s">
        <v>182</v>
      </c>
      <c r="AC111" s="8"/>
    </row>
    <row r="112" spans="1:29" ht="28.5" hidden="1" customHeight="1" x14ac:dyDescent="0.2">
      <c r="A112" s="13" t="s">
        <v>9</v>
      </c>
      <c r="B112" s="39"/>
      <c r="C112" s="93" t="s">
        <v>36</v>
      </c>
      <c r="D112" s="40" t="s">
        <v>139</v>
      </c>
      <c r="E112" s="41" t="s">
        <v>163</v>
      </c>
      <c r="F112" s="40"/>
      <c r="G112" s="42" t="s">
        <v>128</v>
      </c>
      <c r="H112" s="43">
        <f>0.78*1.15</f>
        <v>0.89699999999999991</v>
      </c>
      <c r="I112" s="44"/>
      <c r="J112" s="45"/>
      <c r="K112" s="46"/>
      <c r="L112" s="17"/>
      <c r="M112" s="47"/>
      <c r="N112" s="18"/>
      <c r="O112" s="47"/>
      <c r="P112" s="17"/>
      <c r="Q112" s="47"/>
      <c r="R112" s="18"/>
      <c r="S112" s="48"/>
      <c r="T112" s="49"/>
      <c r="U112" s="48"/>
      <c r="V112" s="49"/>
      <c r="W112" s="29"/>
      <c r="X112" s="89" t="s">
        <v>170</v>
      </c>
      <c r="Y112" s="8"/>
      <c r="Z112" s="8"/>
      <c r="AA112" s="95">
        <v>8.25</v>
      </c>
      <c r="AB112" s="8" t="s">
        <v>182</v>
      </c>
      <c r="AC112" s="8"/>
    </row>
    <row r="113" spans="1:29" ht="28.5" hidden="1" customHeight="1" x14ac:dyDescent="0.2">
      <c r="A113" s="13" t="s">
        <v>9</v>
      </c>
      <c r="B113" s="39"/>
      <c r="C113" s="93" t="s">
        <v>36</v>
      </c>
      <c r="D113" s="40" t="s">
        <v>139</v>
      </c>
      <c r="E113" s="41" t="s">
        <v>160</v>
      </c>
      <c r="F113" s="40"/>
      <c r="G113" s="42" t="s">
        <v>128</v>
      </c>
      <c r="H113" s="43">
        <f>2.8*1.15</f>
        <v>3.2199999999999998</v>
      </c>
      <c r="I113" s="44"/>
      <c r="J113" s="45"/>
      <c r="K113" s="46"/>
      <c r="L113" s="17"/>
      <c r="M113" s="47"/>
      <c r="N113" s="18"/>
      <c r="O113" s="47"/>
      <c r="P113" s="17"/>
      <c r="Q113" s="47"/>
      <c r="R113" s="18"/>
      <c r="S113" s="48"/>
      <c r="T113" s="49"/>
      <c r="U113" s="48"/>
      <c r="V113" s="49"/>
      <c r="W113" s="29"/>
      <c r="X113" s="89" t="s">
        <v>170</v>
      </c>
      <c r="Y113" s="8"/>
      <c r="Z113" s="8"/>
      <c r="AA113" s="95">
        <v>28.8</v>
      </c>
      <c r="AB113" s="8" t="s">
        <v>182</v>
      </c>
      <c r="AC113" s="8"/>
    </row>
    <row r="114" spans="1:29" ht="28.5" hidden="1" customHeight="1" x14ac:dyDescent="0.2">
      <c r="A114" s="13" t="s">
        <v>9</v>
      </c>
      <c r="B114" s="39"/>
      <c r="C114" s="93" t="s">
        <v>36</v>
      </c>
      <c r="D114" s="40" t="s">
        <v>139</v>
      </c>
      <c r="E114" s="41" t="s">
        <v>161</v>
      </c>
      <c r="F114" s="40"/>
      <c r="G114" s="42" t="s">
        <v>128</v>
      </c>
      <c r="H114" s="43">
        <f>3.62*1.15</f>
        <v>4.1629999999999994</v>
      </c>
      <c r="I114" s="44"/>
      <c r="J114" s="45"/>
      <c r="K114" s="46"/>
      <c r="L114" s="17"/>
      <c r="M114" s="47"/>
      <c r="N114" s="18"/>
      <c r="O114" s="47"/>
      <c r="P114" s="17"/>
      <c r="Q114" s="47"/>
      <c r="R114" s="18"/>
      <c r="S114" s="48"/>
      <c r="T114" s="49"/>
      <c r="U114" s="48"/>
      <c r="V114" s="49"/>
      <c r="W114" s="29"/>
      <c r="X114" s="89" t="s">
        <v>170</v>
      </c>
      <c r="Y114" s="8"/>
      <c r="Z114" s="8"/>
      <c r="AA114" s="95">
        <v>72.900000000000006</v>
      </c>
      <c r="AB114" s="8" t="s">
        <v>182</v>
      </c>
      <c r="AC114" s="8"/>
    </row>
    <row r="115" spans="1:29" ht="28.5" hidden="1" customHeight="1" x14ac:dyDescent="0.2">
      <c r="A115" s="13" t="s">
        <v>9</v>
      </c>
      <c r="B115" s="39"/>
      <c r="C115" s="93" t="s">
        <v>36</v>
      </c>
      <c r="D115" s="40" t="s">
        <v>139</v>
      </c>
      <c r="E115" s="41" t="s">
        <v>213</v>
      </c>
      <c r="F115" s="40"/>
      <c r="G115" s="42" t="s">
        <v>128</v>
      </c>
      <c r="H115" s="43">
        <f>0.13*1.15</f>
        <v>0.14949999999999999</v>
      </c>
      <c r="I115" s="44"/>
      <c r="J115" s="45"/>
      <c r="K115" s="46"/>
      <c r="L115" s="17"/>
      <c r="M115" s="47"/>
      <c r="N115" s="18"/>
      <c r="O115" s="47"/>
      <c r="P115" s="17"/>
      <c r="Q115" s="47"/>
      <c r="R115" s="18"/>
      <c r="S115" s="48"/>
      <c r="T115" s="49"/>
      <c r="U115" s="48"/>
      <c r="V115" s="49"/>
      <c r="W115" s="29"/>
      <c r="X115" s="89" t="s">
        <v>170</v>
      </c>
      <c r="Y115" s="8"/>
      <c r="Z115" s="8"/>
      <c r="AA115" s="95">
        <v>5.4</v>
      </c>
      <c r="AB115" s="8" t="s">
        <v>182</v>
      </c>
      <c r="AC115" s="8"/>
    </row>
    <row r="116" spans="1:29" ht="28.5" hidden="1" customHeight="1" x14ac:dyDescent="0.2">
      <c r="A116" s="13" t="s">
        <v>9</v>
      </c>
      <c r="B116" s="39"/>
      <c r="C116" s="93" t="s">
        <v>36</v>
      </c>
      <c r="D116" s="40" t="s">
        <v>139</v>
      </c>
      <c r="E116" s="41" t="s">
        <v>214</v>
      </c>
      <c r="F116" s="40"/>
      <c r="G116" s="42" t="s">
        <v>128</v>
      </c>
      <c r="H116" s="43">
        <f>0.98*1.15</f>
        <v>1.127</v>
      </c>
      <c r="I116" s="44"/>
      <c r="J116" s="45"/>
      <c r="K116" s="46"/>
      <c r="L116" s="17"/>
      <c r="M116" s="47"/>
      <c r="N116" s="18"/>
      <c r="O116" s="47"/>
      <c r="P116" s="17"/>
      <c r="Q116" s="47"/>
      <c r="R116" s="18"/>
      <c r="S116" s="48"/>
      <c r="T116" s="49"/>
      <c r="U116" s="48"/>
      <c r="V116" s="49"/>
      <c r="W116" s="29"/>
      <c r="X116" s="89" t="s">
        <v>170</v>
      </c>
      <c r="Y116" s="8"/>
      <c r="Z116" s="8"/>
      <c r="AA116" s="95">
        <v>13.2</v>
      </c>
      <c r="AB116" s="8" t="s">
        <v>182</v>
      </c>
      <c r="AC116" s="8"/>
    </row>
    <row r="117" spans="1:29" ht="28.5" hidden="1" customHeight="1" x14ac:dyDescent="0.2">
      <c r="A117" s="13" t="s">
        <v>9</v>
      </c>
      <c r="B117" s="39"/>
      <c r="C117" s="93" t="s">
        <v>36</v>
      </c>
      <c r="D117" s="40" t="s">
        <v>139</v>
      </c>
      <c r="E117" s="41" t="s">
        <v>165</v>
      </c>
      <c r="F117" s="40"/>
      <c r="G117" s="42" t="s">
        <v>128</v>
      </c>
      <c r="H117" s="43">
        <f>0.14*1.15</f>
        <v>0.161</v>
      </c>
      <c r="I117" s="44"/>
      <c r="J117" s="45"/>
      <c r="K117" s="46"/>
      <c r="L117" s="17"/>
      <c r="M117" s="47"/>
      <c r="N117" s="18"/>
      <c r="O117" s="47"/>
      <c r="P117" s="17"/>
      <c r="Q117" s="47"/>
      <c r="R117" s="18"/>
      <c r="S117" s="48"/>
      <c r="T117" s="49"/>
      <c r="U117" s="48"/>
      <c r="V117" s="49"/>
      <c r="W117" s="29"/>
      <c r="X117" s="89" t="s">
        <v>170</v>
      </c>
      <c r="Y117" s="8"/>
      <c r="Z117" s="8"/>
      <c r="AA117" s="95">
        <v>2.85</v>
      </c>
      <c r="AB117" s="8" t="s">
        <v>182</v>
      </c>
      <c r="AC117" s="8"/>
    </row>
    <row r="118" spans="1:29" ht="28.5" hidden="1" customHeight="1" x14ac:dyDescent="0.2">
      <c r="A118" s="13" t="s">
        <v>9</v>
      </c>
      <c r="B118" s="39"/>
      <c r="C118" s="93" t="s">
        <v>36</v>
      </c>
      <c r="D118" s="40" t="s">
        <v>139</v>
      </c>
      <c r="E118" s="41" t="s">
        <v>162</v>
      </c>
      <c r="F118" s="40"/>
      <c r="G118" s="42" t="s">
        <v>128</v>
      </c>
      <c r="H118" s="43">
        <f>1.01*1.15</f>
        <v>1.1615</v>
      </c>
      <c r="I118" s="44"/>
      <c r="J118" s="45"/>
      <c r="K118" s="46"/>
      <c r="L118" s="17"/>
      <c r="M118" s="47"/>
      <c r="N118" s="18"/>
      <c r="O118" s="47"/>
      <c r="P118" s="17"/>
      <c r="Q118" s="47"/>
      <c r="R118" s="18"/>
      <c r="S118" s="48"/>
      <c r="T118" s="49"/>
      <c r="U118" s="48"/>
      <c r="V118" s="49"/>
      <c r="W118" s="29"/>
      <c r="X118" s="89" t="s">
        <v>170</v>
      </c>
      <c r="Y118" s="8"/>
      <c r="Z118" s="8"/>
      <c r="AA118" s="95">
        <v>25.44</v>
      </c>
      <c r="AB118" s="8" t="s">
        <v>182</v>
      </c>
      <c r="AC118" s="8"/>
    </row>
    <row r="119" spans="1:29" ht="28.5" hidden="1" customHeight="1" x14ac:dyDescent="0.2">
      <c r="A119" s="13" t="s">
        <v>9</v>
      </c>
      <c r="B119" s="39"/>
      <c r="C119" s="93" t="s">
        <v>36</v>
      </c>
      <c r="D119" s="40" t="s">
        <v>139</v>
      </c>
      <c r="E119" s="41" t="s">
        <v>215</v>
      </c>
      <c r="F119" s="40"/>
      <c r="G119" s="42" t="s">
        <v>128</v>
      </c>
      <c r="H119" s="43">
        <f>5.29*1.15</f>
        <v>6.0834999999999999</v>
      </c>
      <c r="I119" s="44"/>
      <c r="J119" s="45"/>
      <c r="K119" s="46"/>
      <c r="L119" s="17"/>
      <c r="M119" s="47"/>
      <c r="N119" s="18"/>
      <c r="O119" s="47"/>
      <c r="P119" s="17"/>
      <c r="Q119" s="47"/>
      <c r="R119" s="18"/>
      <c r="S119" s="48"/>
      <c r="T119" s="49"/>
      <c r="U119" s="48"/>
      <c r="V119" s="49"/>
      <c r="W119" s="29"/>
      <c r="X119" s="89" t="s">
        <v>170</v>
      </c>
      <c r="Y119" s="8"/>
      <c r="Z119" s="8"/>
      <c r="AA119" s="95">
        <v>132.6</v>
      </c>
      <c r="AB119" s="8" t="s">
        <v>182</v>
      </c>
      <c r="AC119" s="8"/>
    </row>
    <row r="120" spans="1:29" ht="28.5" hidden="1" customHeight="1" x14ac:dyDescent="0.2">
      <c r="A120" s="13" t="s">
        <v>9</v>
      </c>
      <c r="B120" s="39"/>
      <c r="C120" s="93" t="s">
        <v>36</v>
      </c>
      <c r="D120" s="40" t="s">
        <v>139</v>
      </c>
      <c r="E120" s="41" t="s">
        <v>216</v>
      </c>
      <c r="F120" s="40"/>
      <c r="G120" s="42" t="s">
        <v>128</v>
      </c>
      <c r="H120" s="43">
        <f>0.26*1.15</f>
        <v>0.29899999999999999</v>
      </c>
      <c r="I120" s="44"/>
      <c r="J120" s="45"/>
      <c r="K120" s="46"/>
      <c r="L120" s="17"/>
      <c r="M120" s="47"/>
      <c r="N120" s="18"/>
      <c r="O120" s="47"/>
      <c r="P120" s="17"/>
      <c r="Q120" s="47"/>
      <c r="R120" s="18"/>
      <c r="S120" s="48"/>
      <c r="T120" s="49"/>
      <c r="U120" s="48"/>
      <c r="V120" s="49"/>
      <c r="W120" s="29"/>
      <c r="X120" s="89" t="s">
        <v>170</v>
      </c>
      <c r="Y120" s="8"/>
      <c r="Z120" s="8"/>
      <c r="AA120" s="95">
        <v>10.8</v>
      </c>
      <c r="AB120" s="8" t="s">
        <v>182</v>
      </c>
      <c r="AC120" s="8"/>
    </row>
    <row r="121" spans="1:29" ht="28.5" hidden="1" customHeight="1" x14ac:dyDescent="0.2">
      <c r="A121" s="13" t="s">
        <v>9</v>
      </c>
      <c r="B121" s="39"/>
      <c r="C121" s="93" t="s">
        <v>36</v>
      </c>
      <c r="D121" s="40" t="s">
        <v>139</v>
      </c>
      <c r="E121" s="41" t="s">
        <v>169</v>
      </c>
      <c r="F121" s="40"/>
      <c r="G121" s="42" t="s">
        <v>128</v>
      </c>
      <c r="H121" s="43">
        <f>0.1*1.15</f>
        <v>0.11499999999999999</v>
      </c>
      <c r="I121" s="44"/>
      <c r="J121" s="45"/>
      <c r="K121" s="46"/>
      <c r="L121" s="17"/>
      <c r="M121" s="47"/>
      <c r="N121" s="18"/>
      <c r="O121" s="47"/>
      <c r="P121" s="17"/>
      <c r="Q121" s="47"/>
      <c r="R121" s="18"/>
      <c r="S121" s="48"/>
      <c r="T121" s="49"/>
      <c r="U121" s="48"/>
      <c r="V121" s="49"/>
      <c r="W121" s="29"/>
      <c r="X121" s="89" t="s">
        <v>170</v>
      </c>
      <c r="Y121" s="8"/>
      <c r="Z121" s="8"/>
      <c r="AA121" s="95">
        <v>2.4</v>
      </c>
      <c r="AB121" s="8" t="s">
        <v>182</v>
      </c>
      <c r="AC121" s="8"/>
    </row>
    <row r="122" spans="1:29" ht="28.5" hidden="1" customHeight="1" x14ac:dyDescent="0.2">
      <c r="A122" s="13" t="s">
        <v>9</v>
      </c>
      <c r="B122" s="39"/>
      <c r="C122" s="93" t="s">
        <v>36</v>
      </c>
      <c r="D122" s="40" t="s">
        <v>139</v>
      </c>
      <c r="E122" s="41" t="s">
        <v>168</v>
      </c>
      <c r="F122" s="40"/>
      <c r="G122" s="42" t="s">
        <v>128</v>
      </c>
      <c r="H122" s="43">
        <f>0.08*1.15</f>
        <v>9.1999999999999998E-2</v>
      </c>
      <c r="I122" s="44"/>
      <c r="J122" s="45"/>
      <c r="K122" s="46"/>
      <c r="L122" s="17"/>
      <c r="M122" s="47"/>
      <c r="N122" s="18"/>
      <c r="O122" s="47"/>
      <c r="P122" s="17"/>
      <c r="Q122" s="47"/>
      <c r="R122" s="18"/>
      <c r="S122" s="48"/>
      <c r="T122" s="49"/>
      <c r="U122" s="48"/>
      <c r="V122" s="49"/>
      <c r="W122" s="29"/>
      <c r="X122" s="89" t="s">
        <v>170</v>
      </c>
      <c r="Y122" s="8"/>
      <c r="Z122" s="8"/>
      <c r="AA122" s="95">
        <v>1.2</v>
      </c>
      <c r="AB122" s="8" t="s">
        <v>182</v>
      </c>
      <c r="AC122" s="8"/>
    </row>
    <row r="123" spans="1:29" ht="28.5" hidden="1" customHeight="1" x14ac:dyDescent="0.2">
      <c r="A123" s="13" t="s">
        <v>9</v>
      </c>
      <c r="B123" s="39"/>
      <c r="C123" s="93" t="s">
        <v>36</v>
      </c>
      <c r="D123" s="40" t="s">
        <v>139</v>
      </c>
      <c r="E123" s="41" t="s">
        <v>167</v>
      </c>
      <c r="F123" s="40"/>
      <c r="G123" s="42" t="s">
        <v>128</v>
      </c>
      <c r="H123" s="43">
        <f>0.05*1.15</f>
        <v>5.7499999999999996E-2</v>
      </c>
      <c r="I123" s="44"/>
      <c r="J123" s="45"/>
      <c r="K123" s="46"/>
      <c r="L123" s="17"/>
      <c r="M123" s="47"/>
      <c r="N123" s="18"/>
      <c r="O123" s="47"/>
      <c r="P123" s="17"/>
      <c r="Q123" s="47"/>
      <c r="R123" s="18"/>
      <c r="S123" s="48"/>
      <c r="T123" s="49"/>
      <c r="U123" s="48"/>
      <c r="V123" s="49"/>
      <c r="W123" s="29"/>
      <c r="X123" s="89" t="s">
        <v>170</v>
      </c>
      <c r="Y123" s="8"/>
      <c r="Z123" s="8"/>
      <c r="AA123" s="95">
        <v>0.6</v>
      </c>
      <c r="AB123" s="8" t="s">
        <v>182</v>
      </c>
      <c r="AC123" s="8"/>
    </row>
    <row r="124" spans="1:29" ht="28.5" hidden="1" customHeight="1" x14ac:dyDescent="0.2">
      <c r="A124" s="13" t="s">
        <v>9</v>
      </c>
      <c r="B124" s="39"/>
      <c r="C124" s="93" t="s">
        <v>36</v>
      </c>
      <c r="D124" s="40" t="s">
        <v>139</v>
      </c>
      <c r="E124" s="41" t="s">
        <v>166</v>
      </c>
      <c r="F124" s="40"/>
      <c r="G124" s="42" t="s">
        <v>128</v>
      </c>
      <c r="H124" s="43">
        <f>0.03*1.15</f>
        <v>3.4499999999999996E-2</v>
      </c>
      <c r="I124" s="44"/>
      <c r="J124" s="45"/>
      <c r="K124" s="46"/>
      <c r="L124" s="17"/>
      <c r="M124" s="47"/>
      <c r="N124" s="18"/>
      <c r="O124" s="47"/>
      <c r="P124" s="17"/>
      <c r="Q124" s="47"/>
      <c r="R124" s="18"/>
      <c r="S124" s="48"/>
      <c r="T124" s="49"/>
      <c r="U124" s="48"/>
      <c r="V124" s="49"/>
      <c r="W124" s="29"/>
      <c r="X124" s="89" t="s">
        <v>170</v>
      </c>
      <c r="Y124" s="8"/>
      <c r="Z124" s="8"/>
      <c r="AA124" s="95">
        <v>0.96</v>
      </c>
      <c r="AB124" s="8" t="s">
        <v>182</v>
      </c>
      <c r="AC124" s="8"/>
    </row>
    <row r="125" spans="1:29" ht="28.5" hidden="1" customHeight="1" x14ac:dyDescent="0.2">
      <c r="A125" s="13" t="s">
        <v>9</v>
      </c>
      <c r="B125" s="39"/>
      <c r="C125" s="93" t="s">
        <v>36</v>
      </c>
      <c r="D125" s="40" t="s">
        <v>139</v>
      </c>
      <c r="E125" s="41" t="s">
        <v>217</v>
      </c>
      <c r="F125" s="40"/>
      <c r="G125" s="42" t="s">
        <v>128</v>
      </c>
      <c r="H125" s="43">
        <f>0.24*1.15</f>
        <v>0.27599999999999997</v>
      </c>
      <c r="I125" s="44"/>
      <c r="J125" s="45"/>
      <c r="K125" s="46"/>
      <c r="L125" s="17"/>
      <c r="M125" s="47"/>
      <c r="N125" s="18"/>
      <c r="O125" s="47"/>
      <c r="P125" s="17"/>
      <c r="Q125" s="47"/>
      <c r="R125" s="18"/>
      <c r="S125" s="48"/>
      <c r="T125" s="49"/>
      <c r="U125" s="48"/>
      <c r="V125" s="49"/>
      <c r="W125" s="29"/>
      <c r="X125" s="89" t="s">
        <v>170</v>
      </c>
      <c r="Y125" s="8"/>
      <c r="Z125" s="8"/>
      <c r="AA125" s="95">
        <v>6</v>
      </c>
      <c r="AB125" s="8" t="s">
        <v>182</v>
      </c>
      <c r="AC125" s="8"/>
    </row>
    <row r="126" spans="1:29" s="69" customFormat="1" ht="28.5" customHeight="1" x14ac:dyDescent="0.2">
      <c r="A126" s="66" t="s">
        <v>8</v>
      </c>
      <c r="B126" s="33" t="s">
        <v>173</v>
      </c>
      <c r="C126" s="23" t="s">
        <v>36</v>
      </c>
      <c r="D126" s="23" t="s">
        <v>139</v>
      </c>
      <c r="E126" s="24" t="s">
        <v>140</v>
      </c>
      <c r="F126" s="36"/>
      <c r="G126" s="37" t="s">
        <v>119</v>
      </c>
      <c r="H126" s="38">
        <v>10</v>
      </c>
      <c r="I126" s="25"/>
      <c r="J126" s="34"/>
      <c r="K126" s="32"/>
      <c r="L126" s="26"/>
      <c r="M126" s="67"/>
      <c r="N126" s="28"/>
      <c r="O126" s="67"/>
      <c r="P126" s="26"/>
      <c r="Q126" s="67"/>
      <c r="R126" s="28"/>
      <c r="S126" s="27"/>
      <c r="T126" s="28"/>
      <c r="U126" s="27"/>
      <c r="V126" s="28"/>
      <c r="W126" s="68"/>
      <c r="X126" s="88"/>
      <c r="Y126" s="88"/>
      <c r="Z126" s="88"/>
      <c r="AA126" s="88"/>
      <c r="AB126" s="88"/>
      <c r="AC126" s="88"/>
    </row>
    <row r="127" spans="1:29" ht="28.5" hidden="1" customHeight="1" x14ac:dyDescent="0.2">
      <c r="A127" s="13" t="s">
        <v>9</v>
      </c>
      <c r="B127" s="39"/>
      <c r="C127" s="93" t="s">
        <v>36</v>
      </c>
      <c r="D127" s="40" t="s">
        <v>139</v>
      </c>
      <c r="E127" s="41" t="s">
        <v>118</v>
      </c>
      <c r="F127" s="40"/>
      <c r="G127" s="42" t="s">
        <v>105</v>
      </c>
      <c r="H127" s="43">
        <f>H126*0.08*1.13</f>
        <v>0.90399999999999991</v>
      </c>
      <c r="I127" s="44"/>
      <c r="J127" s="45"/>
      <c r="K127" s="46"/>
      <c r="L127" s="17"/>
      <c r="M127" s="47"/>
      <c r="N127" s="18"/>
      <c r="O127" s="47"/>
      <c r="P127" s="17"/>
      <c r="Q127" s="47"/>
      <c r="R127" s="18"/>
      <c r="S127" s="48"/>
      <c r="T127" s="49"/>
      <c r="U127" s="48"/>
      <c r="V127" s="49"/>
      <c r="W127" s="29"/>
      <c r="X127" s="89" t="s">
        <v>122</v>
      </c>
      <c r="Y127" s="8"/>
      <c r="Z127" s="8"/>
      <c r="AA127" s="8"/>
      <c r="AB127" s="8"/>
      <c r="AC127" s="8"/>
    </row>
    <row r="128" spans="1:29" ht="28.5" hidden="1" customHeight="1" x14ac:dyDescent="0.2">
      <c r="A128" s="13" t="s">
        <v>9</v>
      </c>
      <c r="B128" s="39"/>
      <c r="C128" s="93" t="s">
        <v>36</v>
      </c>
      <c r="D128" s="40" t="s">
        <v>139</v>
      </c>
      <c r="E128" s="41" t="s">
        <v>121</v>
      </c>
      <c r="F128" s="40"/>
      <c r="G128" s="42" t="s">
        <v>105</v>
      </c>
      <c r="H128" s="43">
        <f>H126*0.14*2*1.13</f>
        <v>3.1640000000000001</v>
      </c>
      <c r="I128" s="44"/>
      <c r="J128" s="45"/>
      <c r="K128" s="46"/>
      <c r="L128" s="17"/>
      <c r="M128" s="47"/>
      <c r="N128" s="18"/>
      <c r="O128" s="47"/>
      <c r="P128" s="17"/>
      <c r="Q128" s="47"/>
      <c r="R128" s="18"/>
      <c r="S128" s="48"/>
      <c r="T128" s="49"/>
      <c r="U128" s="48"/>
      <c r="V128" s="49"/>
      <c r="W128" s="29"/>
      <c r="X128" s="89" t="s">
        <v>123</v>
      </c>
      <c r="Y128" s="8"/>
      <c r="Z128" s="8"/>
      <c r="AA128" s="8"/>
      <c r="AB128" s="8"/>
      <c r="AC128" s="8"/>
    </row>
    <row r="129" spans="1:29" s="69" customFormat="1" ht="28.5" customHeight="1" x14ac:dyDescent="0.2">
      <c r="A129" s="66" t="s">
        <v>8</v>
      </c>
      <c r="B129" s="33" t="s">
        <v>164</v>
      </c>
      <c r="C129" s="23" t="s">
        <v>36</v>
      </c>
      <c r="D129" s="23" t="s">
        <v>139</v>
      </c>
      <c r="E129" s="24" t="s">
        <v>360</v>
      </c>
      <c r="F129" s="36"/>
      <c r="G129" s="37" t="s">
        <v>119</v>
      </c>
      <c r="H129" s="38">
        <f>AA89</f>
        <v>509.42480000000006</v>
      </c>
      <c r="I129" s="25"/>
      <c r="J129" s="34"/>
      <c r="K129" s="32"/>
      <c r="L129" s="26"/>
      <c r="M129" s="67"/>
      <c r="N129" s="28"/>
      <c r="O129" s="67"/>
      <c r="P129" s="26"/>
      <c r="Q129" s="67"/>
      <c r="R129" s="28"/>
      <c r="S129" s="27"/>
      <c r="T129" s="28"/>
      <c r="U129" s="27"/>
      <c r="V129" s="28"/>
      <c r="W129" s="68"/>
      <c r="X129" s="88"/>
      <c r="Y129" s="88"/>
      <c r="Z129" s="88"/>
      <c r="AA129" s="88"/>
      <c r="AB129" s="88"/>
      <c r="AC129" s="88"/>
    </row>
    <row r="130" spans="1:29" ht="28.5" hidden="1" customHeight="1" x14ac:dyDescent="0.2">
      <c r="A130" s="13" t="s">
        <v>9</v>
      </c>
      <c r="B130" s="39"/>
      <c r="C130" s="93" t="s">
        <v>36</v>
      </c>
      <c r="D130" s="40" t="s">
        <v>139</v>
      </c>
      <c r="E130" s="41" t="s">
        <v>181</v>
      </c>
      <c r="F130" s="40"/>
      <c r="G130" s="42" t="s">
        <v>184</v>
      </c>
      <c r="H130" s="43">
        <f>H129*0.3</f>
        <v>152.82744000000002</v>
      </c>
      <c r="I130" s="44"/>
      <c r="J130" s="45"/>
      <c r="K130" s="46"/>
      <c r="L130" s="17"/>
      <c r="M130" s="47"/>
      <c r="N130" s="18"/>
      <c r="O130" s="47"/>
      <c r="P130" s="17"/>
      <c r="Q130" s="47"/>
      <c r="R130" s="18"/>
      <c r="S130" s="48"/>
      <c r="T130" s="49"/>
      <c r="U130" s="48"/>
      <c r="V130" s="49"/>
      <c r="W130" s="29"/>
      <c r="X130" s="89" t="s">
        <v>183</v>
      </c>
      <c r="Y130" s="8"/>
      <c r="Z130" s="8"/>
      <c r="AA130" s="8"/>
      <c r="AB130" s="8"/>
      <c r="AC130" s="8"/>
    </row>
    <row r="131" spans="1:29" s="69" customFormat="1" ht="28.5" customHeight="1" x14ac:dyDescent="0.2">
      <c r="A131" s="66" t="s">
        <v>8</v>
      </c>
      <c r="B131" s="33" t="s">
        <v>185</v>
      </c>
      <c r="C131" s="23" t="s">
        <v>36</v>
      </c>
      <c r="D131" s="23" t="s">
        <v>139</v>
      </c>
      <c r="E131" s="24" t="s">
        <v>186</v>
      </c>
      <c r="F131" s="36"/>
      <c r="G131" s="37" t="s">
        <v>119</v>
      </c>
      <c r="H131" s="38">
        <f>H129*3/100</f>
        <v>15.282744000000003</v>
      </c>
      <c r="I131" s="25"/>
      <c r="J131" s="34"/>
      <c r="K131" s="32"/>
      <c r="L131" s="26"/>
      <c r="M131" s="67"/>
      <c r="N131" s="28"/>
      <c r="O131" s="67"/>
      <c r="P131" s="26"/>
      <c r="Q131" s="67"/>
      <c r="R131" s="28"/>
      <c r="S131" s="27"/>
      <c r="T131" s="28"/>
      <c r="U131" s="27"/>
      <c r="V131" s="28"/>
      <c r="W131" s="68"/>
      <c r="X131" s="68" t="s">
        <v>188</v>
      </c>
      <c r="Y131" s="88"/>
      <c r="Z131" s="88"/>
      <c r="AA131" s="88"/>
      <c r="AB131" s="88"/>
      <c r="AC131" s="88"/>
    </row>
    <row r="132" spans="1:29" ht="28.5" hidden="1" customHeight="1" x14ac:dyDescent="0.2">
      <c r="A132" s="13" t="s">
        <v>9</v>
      </c>
      <c r="B132" s="39"/>
      <c r="C132" s="93" t="s">
        <v>36</v>
      </c>
      <c r="D132" s="40" t="s">
        <v>139</v>
      </c>
      <c r="E132" s="41" t="s">
        <v>171</v>
      </c>
      <c r="F132" s="40"/>
      <c r="G132" s="42" t="s">
        <v>119</v>
      </c>
      <c r="H132" s="43">
        <f>H131*1.12</f>
        <v>17.116673280000004</v>
      </c>
      <c r="I132" s="44"/>
      <c r="J132" s="45"/>
      <c r="K132" s="46"/>
      <c r="L132" s="17"/>
      <c r="M132" s="47"/>
      <c r="N132" s="18"/>
      <c r="O132" s="47"/>
      <c r="P132" s="17"/>
      <c r="Q132" s="47"/>
      <c r="R132" s="18"/>
      <c r="S132" s="48"/>
      <c r="T132" s="49"/>
      <c r="U132" s="48"/>
      <c r="V132" s="49"/>
      <c r="W132" s="29"/>
      <c r="X132" s="89" t="s">
        <v>187</v>
      </c>
      <c r="Y132" s="8"/>
      <c r="Z132" s="8"/>
      <c r="AA132" s="8"/>
      <c r="AB132" s="8"/>
      <c r="AC132" s="8"/>
    </row>
    <row r="133" spans="1:29" s="85" customFormat="1" ht="28.5" customHeight="1" x14ac:dyDescent="0.2">
      <c r="A133" s="70" t="s">
        <v>14</v>
      </c>
      <c r="B133" s="71">
        <v>6</v>
      </c>
      <c r="C133" s="72" t="s">
        <v>36</v>
      </c>
      <c r="D133" s="75" t="s">
        <v>139</v>
      </c>
      <c r="E133" s="74" t="s">
        <v>176</v>
      </c>
      <c r="F133" s="75"/>
      <c r="G133" s="73"/>
      <c r="H133" s="76"/>
      <c r="I133" s="77"/>
      <c r="J133" s="76"/>
      <c r="K133" s="78"/>
      <c r="L133" s="79"/>
      <c r="M133" s="80"/>
      <c r="N133" s="81"/>
      <c r="O133" s="82"/>
      <c r="P133" s="79"/>
      <c r="Q133" s="80"/>
      <c r="R133" s="81"/>
      <c r="S133" s="80"/>
      <c r="T133" s="83"/>
      <c r="U133" s="84"/>
      <c r="V133" s="83"/>
    </row>
    <row r="134" spans="1:29" s="69" customFormat="1" ht="38.25" customHeight="1" x14ac:dyDescent="0.2">
      <c r="A134" s="66" t="s">
        <v>8</v>
      </c>
      <c r="B134" s="33" t="s">
        <v>177</v>
      </c>
      <c r="C134" s="23" t="s">
        <v>36</v>
      </c>
      <c r="D134" s="23" t="s">
        <v>139</v>
      </c>
      <c r="E134" s="24" t="s">
        <v>359</v>
      </c>
      <c r="F134" s="36"/>
      <c r="G134" s="37" t="s">
        <v>128</v>
      </c>
      <c r="H134" s="38">
        <f>SUM(H135:H168)/1.15</f>
        <v>48</v>
      </c>
      <c r="I134" s="25"/>
      <c r="J134" s="34"/>
      <c r="K134" s="32"/>
      <c r="L134" s="26"/>
      <c r="M134" s="67"/>
      <c r="N134" s="28"/>
      <c r="O134" s="67"/>
      <c r="P134" s="26"/>
      <c r="Q134" s="67"/>
      <c r="R134" s="28"/>
      <c r="S134" s="27"/>
      <c r="T134" s="28"/>
      <c r="U134" s="27"/>
      <c r="V134" s="28"/>
      <c r="W134" s="68"/>
      <c r="X134" s="114" t="s">
        <v>511</v>
      </c>
      <c r="Y134" s="114"/>
      <c r="Z134" s="114"/>
      <c r="AA134" s="96">
        <f>SUM(AA135:AA168)</f>
        <v>703.67740000000003</v>
      </c>
      <c r="AB134" s="88" t="s">
        <v>182</v>
      </c>
      <c r="AC134" s="88"/>
    </row>
    <row r="135" spans="1:29" ht="28.5" hidden="1" customHeight="1" x14ac:dyDescent="0.2">
      <c r="A135" s="13" t="s">
        <v>9</v>
      </c>
      <c r="B135" s="39"/>
      <c r="C135" s="93" t="s">
        <v>36</v>
      </c>
      <c r="D135" s="40" t="s">
        <v>139</v>
      </c>
      <c r="E135" s="41" t="s">
        <v>209</v>
      </c>
      <c r="F135" s="40"/>
      <c r="G135" s="42" t="s">
        <v>128</v>
      </c>
      <c r="H135" s="43">
        <f>5.98*1.15</f>
        <v>6.8769999999999998</v>
      </c>
      <c r="I135" s="44"/>
      <c r="J135" s="45"/>
      <c r="K135" s="46"/>
      <c r="L135" s="17"/>
      <c r="M135" s="47"/>
      <c r="N135" s="18"/>
      <c r="O135" s="47"/>
      <c r="P135" s="17"/>
      <c r="Q135" s="47"/>
      <c r="R135" s="18"/>
      <c r="S135" s="48"/>
      <c r="T135" s="49"/>
      <c r="U135" s="48"/>
      <c r="V135" s="49"/>
      <c r="W135" s="29"/>
      <c r="X135" s="89" t="s">
        <v>170</v>
      </c>
      <c r="Y135" s="8"/>
      <c r="Z135" s="8"/>
      <c r="AA135" s="95">
        <v>60</v>
      </c>
      <c r="AB135" s="8" t="s">
        <v>182</v>
      </c>
      <c r="AC135" s="8"/>
    </row>
    <row r="136" spans="1:29" ht="28.5" hidden="1" customHeight="1" x14ac:dyDescent="0.2">
      <c r="A136" s="13" t="s">
        <v>9</v>
      </c>
      <c r="B136" s="39"/>
      <c r="C136" s="93" t="s">
        <v>36</v>
      </c>
      <c r="D136" s="40" t="s">
        <v>139</v>
      </c>
      <c r="E136" s="41" t="s">
        <v>142</v>
      </c>
      <c r="F136" s="40"/>
      <c r="G136" s="42" t="s">
        <v>128</v>
      </c>
      <c r="H136" s="43">
        <f>7.93*1.15</f>
        <v>9.1194999999999986</v>
      </c>
      <c r="I136" s="44"/>
      <c r="J136" s="45"/>
      <c r="K136" s="46"/>
      <c r="L136" s="17"/>
      <c r="M136" s="47"/>
      <c r="N136" s="18"/>
      <c r="O136" s="47"/>
      <c r="P136" s="17"/>
      <c r="Q136" s="47"/>
      <c r="R136" s="18"/>
      <c r="S136" s="48"/>
      <c r="T136" s="49"/>
      <c r="U136" s="48"/>
      <c r="V136" s="49"/>
      <c r="W136" s="29"/>
      <c r="X136" s="89" t="s">
        <v>170</v>
      </c>
      <c r="Y136" s="8"/>
      <c r="Z136" s="8"/>
      <c r="AA136" s="95">
        <v>80.400000000000006</v>
      </c>
      <c r="AB136" s="8" t="s">
        <v>182</v>
      </c>
      <c r="AC136" s="8"/>
    </row>
    <row r="137" spans="1:29" ht="28.5" hidden="1" customHeight="1" x14ac:dyDescent="0.2">
      <c r="A137" s="13" t="s">
        <v>9</v>
      </c>
      <c r="B137" s="39"/>
      <c r="C137" s="93" t="s">
        <v>36</v>
      </c>
      <c r="D137" s="40" t="s">
        <v>139</v>
      </c>
      <c r="E137" s="41" t="s">
        <v>141</v>
      </c>
      <c r="F137" s="40"/>
      <c r="G137" s="42" t="s">
        <v>128</v>
      </c>
      <c r="H137" s="43">
        <f>1.28*1.15</f>
        <v>1.472</v>
      </c>
      <c r="I137" s="44"/>
      <c r="J137" s="45"/>
      <c r="K137" s="46"/>
      <c r="L137" s="17"/>
      <c r="M137" s="47"/>
      <c r="N137" s="18"/>
      <c r="O137" s="47"/>
      <c r="P137" s="17"/>
      <c r="Q137" s="47"/>
      <c r="R137" s="18"/>
      <c r="S137" s="48"/>
      <c r="T137" s="49"/>
      <c r="U137" s="48"/>
      <c r="V137" s="49"/>
      <c r="W137" s="29"/>
      <c r="X137" s="89" t="s">
        <v>170</v>
      </c>
      <c r="Y137" s="8"/>
      <c r="Z137" s="8"/>
      <c r="AA137" s="95">
        <v>12.824</v>
      </c>
      <c r="AB137" s="8" t="s">
        <v>182</v>
      </c>
      <c r="AC137" s="8"/>
    </row>
    <row r="138" spans="1:29" ht="28.5" hidden="1" customHeight="1" x14ac:dyDescent="0.2">
      <c r="A138" s="13" t="s">
        <v>9</v>
      </c>
      <c r="B138" s="39"/>
      <c r="C138" s="93" t="s">
        <v>36</v>
      </c>
      <c r="D138" s="40" t="s">
        <v>139</v>
      </c>
      <c r="E138" s="41" t="s">
        <v>149</v>
      </c>
      <c r="F138" s="40"/>
      <c r="G138" s="42" t="s">
        <v>128</v>
      </c>
      <c r="H138" s="43">
        <f>1.52*1.15</f>
        <v>1.7479999999999998</v>
      </c>
      <c r="I138" s="44"/>
      <c r="J138" s="45"/>
      <c r="K138" s="46"/>
      <c r="L138" s="17"/>
      <c r="M138" s="47"/>
      <c r="N138" s="18"/>
      <c r="O138" s="47"/>
      <c r="P138" s="17"/>
      <c r="Q138" s="47"/>
      <c r="R138" s="18"/>
      <c r="S138" s="48"/>
      <c r="T138" s="49"/>
      <c r="U138" s="48"/>
      <c r="V138" s="49"/>
      <c r="W138" s="29"/>
      <c r="X138" s="89" t="s">
        <v>170</v>
      </c>
      <c r="Y138" s="8"/>
      <c r="Z138" s="8"/>
      <c r="AA138" s="95">
        <v>15.3</v>
      </c>
      <c r="AB138" s="8" t="s">
        <v>182</v>
      </c>
      <c r="AC138" s="8"/>
    </row>
    <row r="139" spans="1:29" ht="28.5" hidden="1" customHeight="1" x14ac:dyDescent="0.2">
      <c r="A139" s="13" t="s">
        <v>9</v>
      </c>
      <c r="B139" s="39"/>
      <c r="C139" s="93" t="s">
        <v>36</v>
      </c>
      <c r="D139" s="40" t="s">
        <v>139</v>
      </c>
      <c r="E139" s="41" t="s">
        <v>211</v>
      </c>
      <c r="F139" s="40"/>
      <c r="G139" s="42" t="s">
        <v>128</v>
      </c>
      <c r="H139" s="43">
        <f>0.68*1.15</f>
        <v>0.78200000000000003</v>
      </c>
      <c r="I139" s="44"/>
      <c r="J139" s="45"/>
      <c r="K139" s="46"/>
      <c r="L139" s="17"/>
      <c r="M139" s="47"/>
      <c r="N139" s="18"/>
      <c r="O139" s="47"/>
      <c r="P139" s="17"/>
      <c r="Q139" s="47"/>
      <c r="R139" s="18"/>
      <c r="S139" s="48"/>
      <c r="T139" s="49"/>
      <c r="U139" s="48"/>
      <c r="V139" s="49"/>
      <c r="W139" s="29"/>
      <c r="X139" s="89" t="s">
        <v>170</v>
      </c>
      <c r="Y139" s="8"/>
      <c r="Z139" s="8"/>
      <c r="AA139" s="95">
        <v>13.765499999999999</v>
      </c>
      <c r="AB139" s="8" t="s">
        <v>182</v>
      </c>
      <c r="AC139" s="8"/>
    </row>
    <row r="140" spans="1:29" ht="28.5" hidden="1" customHeight="1" x14ac:dyDescent="0.2">
      <c r="A140" s="13" t="s">
        <v>9</v>
      </c>
      <c r="B140" s="39"/>
      <c r="C140" s="93" t="s">
        <v>36</v>
      </c>
      <c r="D140" s="40" t="s">
        <v>139</v>
      </c>
      <c r="E140" s="41" t="s">
        <v>212</v>
      </c>
      <c r="F140" s="40"/>
      <c r="G140" s="42" t="s">
        <v>128</v>
      </c>
      <c r="H140" s="43">
        <f>0.37*1.15</f>
        <v>0.42549999999999999</v>
      </c>
      <c r="I140" s="44"/>
      <c r="J140" s="45"/>
      <c r="K140" s="46"/>
      <c r="L140" s="17"/>
      <c r="M140" s="47"/>
      <c r="N140" s="18"/>
      <c r="O140" s="47"/>
      <c r="P140" s="17"/>
      <c r="Q140" s="47"/>
      <c r="R140" s="18"/>
      <c r="S140" s="48"/>
      <c r="T140" s="49"/>
      <c r="U140" s="48"/>
      <c r="V140" s="49"/>
      <c r="W140" s="29"/>
      <c r="X140" s="89" t="s">
        <v>170</v>
      </c>
      <c r="Y140" s="8"/>
      <c r="Z140" s="8"/>
      <c r="AA140" s="95">
        <v>7.6875</v>
      </c>
      <c r="AB140" s="8" t="s">
        <v>182</v>
      </c>
      <c r="AC140" s="8"/>
    </row>
    <row r="141" spans="1:29" ht="28.5" hidden="1" customHeight="1" x14ac:dyDescent="0.2">
      <c r="A141" s="13" t="s">
        <v>9</v>
      </c>
      <c r="B141" s="39"/>
      <c r="C141" s="93" t="s">
        <v>36</v>
      </c>
      <c r="D141" s="40" t="s">
        <v>139</v>
      </c>
      <c r="E141" s="41" t="s">
        <v>150</v>
      </c>
      <c r="F141" s="40"/>
      <c r="G141" s="42" t="s">
        <v>128</v>
      </c>
      <c r="H141" s="43">
        <f>1.28*1.15</f>
        <v>1.472</v>
      </c>
      <c r="I141" s="44"/>
      <c r="J141" s="45"/>
      <c r="K141" s="46"/>
      <c r="L141" s="17"/>
      <c r="M141" s="47"/>
      <c r="N141" s="18"/>
      <c r="O141" s="47"/>
      <c r="P141" s="17"/>
      <c r="Q141" s="47"/>
      <c r="R141" s="18"/>
      <c r="S141" s="48"/>
      <c r="T141" s="49"/>
      <c r="U141" s="48"/>
      <c r="V141" s="49"/>
      <c r="W141" s="29"/>
      <c r="X141" s="89" t="s">
        <v>170</v>
      </c>
      <c r="Y141" s="8"/>
      <c r="Z141" s="8"/>
      <c r="AA141" s="95">
        <v>12.956</v>
      </c>
      <c r="AB141" s="8" t="s">
        <v>182</v>
      </c>
      <c r="AC141" s="8"/>
    </row>
    <row r="142" spans="1:29" ht="28.5" hidden="1" customHeight="1" x14ac:dyDescent="0.2">
      <c r="A142" s="13" t="s">
        <v>9</v>
      </c>
      <c r="B142" s="39"/>
      <c r="C142" s="93" t="s">
        <v>36</v>
      </c>
      <c r="D142" s="40" t="s">
        <v>139</v>
      </c>
      <c r="E142" s="41" t="s">
        <v>152</v>
      </c>
      <c r="F142" s="40"/>
      <c r="G142" s="42" t="s">
        <v>128</v>
      </c>
      <c r="H142" s="43">
        <f>0.85*1.15</f>
        <v>0.97749999999999992</v>
      </c>
      <c r="I142" s="44"/>
      <c r="J142" s="45"/>
      <c r="K142" s="46"/>
      <c r="L142" s="17"/>
      <c r="M142" s="47"/>
      <c r="N142" s="18"/>
      <c r="O142" s="47"/>
      <c r="P142" s="17"/>
      <c r="Q142" s="47"/>
      <c r="R142" s="18"/>
      <c r="S142" s="48"/>
      <c r="T142" s="49"/>
      <c r="U142" s="48"/>
      <c r="V142" s="49"/>
      <c r="W142" s="29"/>
      <c r="X142" s="89" t="s">
        <v>170</v>
      </c>
      <c r="Y142" s="8"/>
      <c r="Z142" s="8"/>
      <c r="AA142" s="95">
        <v>8.9347999999999992</v>
      </c>
      <c r="AB142" s="8" t="s">
        <v>182</v>
      </c>
      <c r="AC142" s="8"/>
    </row>
    <row r="143" spans="1:29" ht="28.5" hidden="1" customHeight="1" x14ac:dyDescent="0.2">
      <c r="A143" s="13" t="s">
        <v>9</v>
      </c>
      <c r="B143" s="39"/>
      <c r="C143" s="93" t="s">
        <v>36</v>
      </c>
      <c r="D143" s="40" t="s">
        <v>139</v>
      </c>
      <c r="E143" s="41" t="s">
        <v>210</v>
      </c>
      <c r="F143" s="40"/>
      <c r="G143" s="42" t="s">
        <v>128</v>
      </c>
      <c r="H143" s="43">
        <f>0.72*1.15</f>
        <v>0.82799999999999996</v>
      </c>
      <c r="I143" s="44"/>
      <c r="J143" s="45"/>
      <c r="K143" s="46"/>
      <c r="L143" s="17"/>
      <c r="M143" s="47"/>
      <c r="N143" s="18"/>
      <c r="O143" s="47"/>
      <c r="P143" s="17"/>
      <c r="Q143" s="47"/>
      <c r="R143" s="18"/>
      <c r="S143" s="48"/>
      <c r="T143" s="49"/>
      <c r="U143" s="48"/>
      <c r="V143" s="49"/>
      <c r="W143" s="29"/>
      <c r="X143" s="89" t="s">
        <v>170</v>
      </c>
      <c r="Y143" s="8"/>
      <c r="Z143" s="8"/>
      <c r="AA143" s="95">
        <v>7.2225000000000001</v>
      </c>
      <c r="AB143" s="8" t="s">
        <v>182</v>
      </c>
      <c r="AC143" s="8"/>
    </row>
    <row r="144" spans="1:29" ht="28.5" hidden="1" customHeight="1" x14ac:dyDescent="0.2">
      <c r="A144" s="13" t="s">
        <v>9</v>
      </c>
      <c r="B144" s="39"/>
      <c r="C144" s="93" t="s">
        <v>36</v>
      </c>
      <c r="D144" s="40" t="s">
        <v>139</v>
      </c>
      <c r="E144" s="41" t="s">
        <v>153</v>
      </c>
      <c r="F144" s="40"/>
      <c r="G144" s="42" t="s">
        <v>128</v>
      </c>
      <c r="H144" s="43">
        <f>0.28*1.15</f>
        <v>0.32200000000000001</v>
      </c>
      <c r="I144" s="44"/>
      <c r="J144" s="45"/>
      <c r="K144" s="46"/>
      <c r="L144" s="17"/>
      <c r="M144" s="47"/>
      <c r="N144" s="18"/>
      <c r="O144" s="47"/>
      <c r="P144" s="17"/>
      <c r="Q144" s="47"/>
      <c r="R144" s="18"/>
      <c r="S144" s="48"/>
      <c r="T144" s="49"/>
      <c r="U144" s="48"/>
      <c r="V144" s="49"/>
      <c r="W144" s="29"/>
      <c r="X144" s="89" t="s">
        <v>170</v>
      </c>
      <c r="Y144" s="8"/>
      <c r="Z144" s="8"/>
      <c r="AA144" s="95">
        <v>1.8720000000000001</v>
      </c>
      <c r="AB144" s="8" t="s">
        <v>182</v>
      </c>
      <c r="AC144" s="8"/>
    </row>
    <row r="145" spans="1:29" ht="28.5" hidden="1" customHeight="1" x14ac:dyDescent="0.2">
      <c r="A145" s="13" t="s">
        <v>9</v>
      </c>
      <c r="B145" s="39"/>
      <c r="C145" s="93" t="s">
        <v>36</v>
      </c>
      <c r="D145" s="40" t="s">
        <v>139</v>
      </c>
      <c r="E145" s="41" t="s">
        <v>218</v>
      </c>
      <c r="F145" s="40"/>
      <c r="G145" s="42" t="s">
        <v>128</v>
      </c>
      <c r="H145" s="43">
        <f>0.06*1.15</f>
        <v>6.8999999999999992E-2</v>
      </c>
      <c r="I145" s="44"/>
      <c r="J145" s="45"/>
      <c r="K145" s="46"/>
      <c r="L145" s="17"/>
      <c r="M145" s="47"/>
      <c r="N145" s="18"/>
      <c r="O145" s="47"/>
      <c r="P145" s="17"/>
      <c r="Q145" s="47"/>
      <c r="R145" s="18"/>
      <c r="S145" s="48"/>
      <c r="T145" s="49"/>
      <c r="U145" s="48"/>
      <c r="V145" s="49"/>
      <c r="W145" s="29"/>
      <c r="X145" s="89" t="s">
        <v>170</v>
      </c>
      <c r="Y145" s="8"/>
      <c r="Z145" s="8"/>
      <c r="AA145" s="95">
        <v>0.40129999999999999</v>
      </c>
      <c r="AB145" s="8" t="s">
        <v>182</v>
      </c>
      <c r="AC145" s="8"/>
    </row>
    <row r="146" spans="1:29" ht="28.5" hidden="1" customHeight="1" x14ac:dyDescent="0.2">
      <c r="A146" s="13" t="s">
        <v>9</v>
      </c>
      <c r="B146" s="39"/>
      <c r="C146" s="93" t="s">
        <v>36</v>
      </c>
      <c r="D146" s="40" t="s">
        <v>139</v>
      </c>
      <c r="E146" s="41" t="s">
        <v>219</v>
      </c>
      <c r="F146" s="40"/>
      <c r="G146" s="42" t="s">
        <v>128</v>
      </c>
      <c r="H146" s="43">
        <f>0.07*1.15</f>
        <v>8.0500000000000002E-2</v>
      </c>
      <c r="I146" s="44"/>
      <c r="J146" s="45"/>
      <c r="K146" s="46"/>
      <c r="L146" s="17"/>
      <c r="M146" s="47"/>
      <c r="N146" s="18"/>
      <c r="O146" s="47"/>
      <c r="P146" s="17"/>
      <c r="Q146" s="47"/>
      <c r="R146" s="18"/>
      <c r="S146" s="48"/>
      <c r="T146" s="49"/>
      <c r="U146" s="48"/>
      <c r="V146" s="49"/>
      <c r="W146" s="29"/>
      <c r="X146" s="89" t="s">
        <v>170</v>
      </c>
      <c r="Y146" s="8"/>
      <c r="Z146" s="8"/>
      <c r="AA146" s="95">
        <v>0.4703</v>
      </c>
      <c r="AB146" s="8" t="s">
        <v>182</v>
      </c>
      <c r="AC146" s="8"/>
    </row>
    <row r="147" spans="1:29" ht="28.5" hidden="1" customHeight="1" x14ac:dyDescent="0.2">
      <c r="A147" s="13" t="s">
        <v>9</v>
      </c>
      <c r="B147" s="39"/>
      <c r="C147" s="93" t="s">
        <v>36</v>
      </c>
      <c r="D147" s="40" t="s">
        <v>139</v>
      </c>
      <c r="E147" s="41" t="s">
        <v>220</v>
      </c>
      <c r="F147" s="40"/>
      <c r="G147" s="42" t="s">
        <v>128</v>
      </c>
      <c r="H147" s="43">
        <f>0.12*1.15</f>
        <v>0.13799999999999998</v>
      </c>
      <c r="I147" s="44"/>
      <c r="J147" s="45"/>
      <c r="K147" s="46"/>
      <c r="L147" s="17"/>
      <c r="M147" s="47"/>
      <c r="N147" s="18"/>
      <c r="O147" s="47"/>
      <c r="P147" s="17"/>
      <c r="Q147" s="47"/>
      <c r="R147" s="18"/>
      <c r="S147" s="48"/>
      <c r="T147" s="49"/>
      <c r="U147" s="48"/>
      <c r="V147" s="49"/>
      <c r="W147" s="29"/>
      <c r="X147" s="89" t="s">
        <v>170</v>
      </c>
      <c r="Y147" s="8"/>
      <c r="Z147" s="8"/>
      <c r="AA147" s="95">
        <v>1.026</v>
      </c>
      <c r="AB147" s="8" t="s">
        <v>182</v>
      </c>
      <c r="AC147" s="8"/>
    </row>
    <row r="148" spans="1:29" ht="28.5" hidden="1" customHeight="1" x14ac:dyDescent="0.2">
      <c r="A148" s="13" t="s">
        <v>9</v>
      </c>
      <c r="B148" s="39"/>
      <c r="C148" s="93" t="s">
        <v>36</v>
      </c>
      <c r="D148" s="40" t="s">
        <v>139</v>
      </c>
      <c r="E148" s="41" t="s">
        <v>221</v>
      </c>
      <c r="F148" s="40"/>
      <c r="G148" s="42" t="s">
        <v>128</v>
      </c>
      <c r="H148" s="43">
        <f>0.09*1.15</f>
        <v>0.10349999999999999</v>
      </c>
      <c r="I148" s="44"/>
      <c r="J148" s="45"/>
      <c r="K148" s="46"/>
      <c r="L148" s="17"/>
      <c r="M148" s="47"/>
      <c r="N148" s="18"/>
      <c r="O148" s="47"/>
      <c r="P148" s="17"/>
      <c r="Q148" s="47"/>
      <c r="R148" s="18"/>
      <c r="S148" s="48"/>
      <c r="T148" s="49"/>
      <c r="U148" s="48"/>
      <c r="V148" s="49"/>
      <c r="W148" s="29"/>
      <c r="X148" s="89" t="s">
        <v>170</v>
      </c>
      <c r="Y148" s="8"/>
      <c r="Z148" s="8"/>
      <c r="AA148" s="95">
        <v>0.6</v>
      </c>
      <c r="AB148" s="8" t="s">
        <v>182</v>
      </c>
      <c r="AC148" s="8"/>
    </row>
    <row r="149" spans="1:29" ht="28.5" hidden="1" customHeight="1" x14ac:dyDescent="0.2">
      <c r="A149" s="13" t="s">
        <v>9</v>
      </c>
      <c r="B149" s="39"/>
      <c r="C149" s="93" t="s">
        <v>36</v>
      </c>
      <c r="D149" s="40" t="s">
        <v>139</v>
      </c>
      <c r="E149" s="41" t="s">
        <v>222</v>
      </c>
      <c r="F149" s="40"/>
      <c r="G149" s="42" t="s">
        <v>128</v>
      </c>
      <c r="H149" s="43">
        <f>0.08*1.15</f>
        <v>9.1999999999999998E-2</v>
      </c>
      <c r="I149" s="44"/>
      <c r="J149" s="45"/>
      <c r="K149" s="46"/>
      <c r="L149" s="17"/>
      <c r="M149" s="47"/>
      <c r="N149" s="18"/>
      <c r="O149" s="47"/>
      <c r="P149" s="17"/>
      <c r="Q149" s="47"/>
      <c r="R149" s="18"/>
      <c r="S149" s="48"/>
      <c r="T149" s="49"/>
      <c r="U149" s="48"/>
      <c r="V149" s="49"/>
      <c r="W149" s="29"/>
      <c r="X149" s="89" t="s">
        <v>170</v>
      </c>
      <c r="Y149" s="8"/>
      <c r="Z149" s="8"/>
      <c r="AA149" s="95">
        <v>0.54900000000000004</v>
      </c>
      <c r="AB149" s="8" t="s">
        <v>182</v>
      </c>
      <c r="AC149" s="8"/>
    </row>
    <row r="150" spans="1:29" ht="28.5" hidden="1" customHeight="1" x14ac:dyDescent="0.2">
      <c r="A150" s="13" t="s">
        <v>9</v>
      </c>
      <c r="B150" s="39"/>
      <c r="C150" s="93" t="s">
        <v>36</v>
      </c>
      <c r="D150" s="40" t="s">
        <v>139</v>
      </c>
      <c r="E150" s="41" t="s">
        <v>223</v>
      </c>
      <c r="F150" s="40"/>
      <c r="G150" s="42" t="s">
        <v>128</v>
      </c>
      <c r="H150" s="43">
        <f>0.04*1.15</f>
        <v>4.5999999999999999E-2</v>
      </c>
      <c r="I150" s="44"/>
      <c r="J150" s="45"/>
      <c r="K150" s="46"/>
      <c r="L150" s="17"/>
      <c r="M150" s="47"/>
      <c r="N150" s="18"/>
      <c r="O150" s="47"/>
      <c r="P150" s="17"/>
      <c r="Q150" s="47"/>
      <c r="R150" s="18"/>
      <c r="S150" s="48"/>
      <c r="T150" s="49"/>
      <c r="U150" s="48"/>
      <c r="V150" s="49"/>
      <c r="W150" s="29"/>
      <c r="X150" s="89" t="s">
        <v>170</v>
      </c>
      <c r="Y150" s="8"/>
      <c r="Z150" s="8"/>
      <c r="AA150" s="95">
        <v>0.29849999999999999</v>
      </c>
      <c r="AB150" s="8" t="s">
        <v>182</v>
      </c>
      <c r="AC150" s="8"/>
    </row>
    <row r="151" spans="1:29" ht="28.5" hidden="1" customHeight="1" x14ac:dyDescent="0.2">
      <c r="A151" s="13" t="s">
        <v>9</v>
      </c>
      <c r="B151" s="39"/>
      <c r="C151" s="93" t="s">
        <v>36</v>
      </c>
      <c r="D151" s="40" t="s">
        <v>139</v>
      </c>
      <c r="E151" s="41" t="s">
        <v>156</v>
      </c>
      <c r="F151" s="40"/>
      <c r="G151" s="42" t="s">
        <v>128</v>
      </c>
      <c r="H151" s="43">
        <f>0.28*1.15</f>
        <v>0.32200000000000001</v>
      </c>
      <c r="I151" s="44"/>
      <c r="J151" s="45"/>
      <c r="K151" s="46"/>
      <c r="L151" s="17"/>
      <c r="M151" s="47"/>
      <c r="N151" s="18"/>
      <c r="O151" s="47"/>
      <c r="P151" s="17"/>
      <c r="Q151" s="47"/>
      <c r="R151" s="18"/>
      <c r="S151" s="48"/>
      <c r="T151" s="49"/>
      <c r="U151" s="48"/>
      <c r="V151" s="49"/>
      <c r="W151" s="29"/>
      <c r="X151" s="89" t="s">
        <v>170</v>
      </c>
      <c r="Y151" s="8"/>
      <c r="Z151" s="8"/>
      <c r="AA151" s="95">
        <v>3</v>
      </c>
      <c r="AB151" s="8" t="s">
        <v>182</v>
      </c>
      <c r="AC151" s="8"/>
    </row>
    <row r="152" spans="1:29" ht="28.5" hidden="1" customHeight="1" x14ac:dyDescent="0.2">
      <c r="A152" s="13" t="s">
        <v>9</v>
      </c>
      <c r="B152" s="39"/>
      <c r="C152" s="93" t="s">
        <v>36</v>
      </c>
      <c r="D152" s="40" t="s">
        <v>139</v>
      </c>
      <c r="E152" s="41" t="s">
        <v>157</v>
      </c>
      <c r="F152" s="40"/>
      <c r="G152" s="42" t="s">
        <v>128</v>
      </c>
      <c r="H152" s="43">
        <f>1.62*1.15</f>
        <v>1.863</v>
      </c>
      <c r="I152" s="44"/>
      <c r="J152" s="45"/>
      <c r="K152" s="46"/>
      <c r="L152" s="17"/>
      <c r="M152" s="47"/>
      <c r="N152" s="18"/>
      <c r="O152" s="47"/>
      <c r="P152" s="17"/>
      <c r="Q152" s="47"/>
      <c r="R152" s="18"/>
      <c r="S152" s="48"/>
      <c r="T152" s="49"/>
      <c r="U152" s="48"/>
      <c r="V152" s="49"/>
      <c r="W152" s="29"/>
      <c r="X152" s="89" t="s">
        <v>170</v>
      </c>
      <c r="Y152" s="8"/>
      <c r="Z152" s="8"/>
      <c r="AA152" s="95">
        <v>10.8</v>
      </c>
      <c r="AB152" s="8" t="s">
        <v>182</v>
      </c>
      <c r="AC152" s="8"/>
    </row>
    <row r="153" spans="1:29" ht="28.5" hidden="1" customHeight="1" x14ac:dyDescent="0.2">
      <c r="A153" s="13" t="s">
        <v>9</v>
      </c>
      <c r="B153" s="39"/>
      <c r="C153" s="93" t="s">
        <v>36</v>
      </c>
      <c r="D153" s="40" t="s">
        <v>139</v>
      </c>
      <c r="E153" s="41" t="s">
        <v>158</v>
      </c>
      <c r="F153" s="40"/>
      <c r="G153" s="42" t="s">
        <v>128</v>
      </c>
      <c r="H153" s="43">
        <f>0.43*1.15</f>
        <v>0.49449999999999994</v>
      </c>
      <c r="I153" s="44"/>
      <c r="J153" s="45"/>
      <c r="K153" s="46"/>
      <c r="L153" s="17"/>
      <c r="M153" s="47"/>
      <c r="N153" s="18"/>
      <c r="O153" s="47"/>
      <c r="P153" s="17"/>
      <c r="Q153" s="47"/>
      <c r="R153" s="18"/>
      <c r="S153" s="48"/>
      <c r="T153" s="49"/>
      <c r="U153" s="48"/>
      <c r="V153" s="49"/>
      <c r="W153" s="29"/>
      <c r="X153" s="89" t="s">
        <v>170</v>
      </c>
      <c r="Y153" s="8"/>
      <c r="Z153" s="8"/>
      <c r="AA153" s="95">
        <v>4.5</v>
      </c>
      <c r="AB153" s="8" t="s">
        <v>182</v>
      </c>
      <c r="AC153" s="8"/>
    </row>
    <row r="154" spans="1:29" ht="28.5" hidden="1" customHeight="1" x14ac:dyDescent="0.2">
      <c r="A154" s="13" t="s">
        <v>9</v>
      </c>
      <c r="B154" s="39"/>
      <c r="C154" s="93" t="s">
        <v>36</v>
      </c>
      <c r="D154" s="40" t="s">
        <v>139</v>
      </c>
      <c r="E154" s="41" t="s">
        <v>159</v>
      </c>
      <c r="F154" s="40"/>
      <c r="G154" s="42" t="s">
        <v>128</v>
      </c>
      <c r="H154" s="43">
        <f>2.06*1.15</f>
        <v>2.3689999999999998</v>
      </c>
      <c r="I154" s="44"/>
      <c r="J154" s="45"/>
      <c r="K154" s="46"/>
      <c r="L154" s="17"/>
      <c r="M154" s="47"/>
      <c r="N154" s="18"/>
      <c r="O154" s="47"/>
      <c r="P154" s="17"/>
      <c r="Q154" s="47"/>
      <c r="R154" s="18"/>
      <c r="S154" s="48"/>
      <c r="T154" s="49"/>
      <c r="U154" s="48"/>
      <c r="V154" s="49"/>
      <c r="W154" s="29"/>
      <c r="X154" s="89" t="s">
        <v>170</v>
      </c>
      <c r="Y154" s="8"/>
      <c r="Z154" s="8"/>
      <c r="AA154" s="95">
        <v>14.4</v>
      </c>
      <c r="AB154" s="8" t="s">
        <v>182</v>
      </c>
      <c r="AC154" s="8"/>
    </row>
    <row r="155" spans="1:29" ht="28.5" hidden="1" customHeight="1" x14ac:dyDescent="0.2">
      <c r="A155" s="13" t="s">
        <v>9</v>
      </c>
      <c r="B155" s="39"/>
      <c r="C155" s="93" t="s">
        <v>36</v>
      </c>
      <c r="D155" s="40" t="s">
        <v>139</v>
      </c>
      <c r="E155" s="41" t="s">
        <v>163</v>
      </c>
      <c r="F155" s="40"/>
      <c r="G155" s="42" t="s">
        <v>128</v>
      </c>
      <c r="H155" s="43">
        <f>0.84*1.15</f>
        <v>0.96599999999999986</v>
      </c>
      <c r="I155" s="44"/>
      <c r="J155" s="45"/>
      <c r="K155" s="46"/>
      <c r="L155" s="17"/>
      <c r="M155" s="47"/>
      <c r="N155" s="18"/>
      <c r="O155" s="47"/>
      <c r="P155" s="17"/>
      <c r="Q155" s="47"/>
      <c r="R155" s="18"/>
      <c r="S155" s="48"/>
      <c r="T155" s="49"/>
      <c r="U155" s="48"/>
      <c r="V155" s="49"/>
      <c r="W155" s="29"/>
      <c r="X155" s="89" t="s">
        <v>170</v>
      </c>
      <c r="Y155" s="8"/>
      <c r="Z155" s="8"/>
      <c r="AA155" s="95">
        <v>9</v>
      </c>
      <c r="AB155" s="8" t="s">
        <v>182</v>
      </c>
      <c r="AC155" s="8"/>
    </row>
    <row r="156" spans="1:29" ht="28.5" hidden="1" customHeight="1" x14ac:dyDescent="0.2">
      <c r="A156" s="13" t="s">
        <v>9</v>
      </c>
      <c r="B156" s="39"/>
      <c r="C156" s="93" t="s">
        <v>36</v>
      </c>
      <c r="D156" s="40" t="s">
        <v>139</v>
      </c>
      <c r="E156" s="41" t="s">
        <v>160</v>
      </c>
      <c r="F156" s="40"/>
      <c r="G156" s="42" t="s">
        <v>128</v>
      </c>
      <c r="H156" s="43">
        <f>3.31*1.15</f>
        <v>3.8064999999999998</v>
      </c>
      <c r="I156" s="44"/>
      <c r="J156" s="45"/>
      <c r="K156" s="46"/>
      <c r="L156" s="17"/>
      <c r="M156" s="47"/>
      <c r="N156" s="18"/>
      <c r="O156" s="47"/>
      <c r="P156" s="17"/>
      <c r="Q156" s="47"/>
      <c r="R156" s="18"/>
      <c r="S156" s="48"/>
      <c r="T156" s="49"/>
      <c r="U156" s="48"/>
      <c r="V156" s="49"/>
      <c r="W156" s="29"/>
      <c r="X156" s="89" t="s">
        <v>170</v>
      </c>
      <c r="Y156" s="8"/>
      <c r="Z156" s="8"/>
      <c r="AA156" s="95">
        <v>33.299999999999997</v>
      </c>
      <c r="AB156" s="8" t="s">
        <v>182</v>
      </c>
      <c r="AC156" s="8"/>
    </row>
    <row r="157" spans="1:29" ht="28.5" hidden="1" customHeight="1" x14ac:dyDescent="0.2">
      <c r="A157" s="13" t="s">
        <v>9</v>
      </c>
      <c r="B157" s="39"/>
      <c r="C157" s="93" t="s">
        <v>36</v>
      </c>
      <c r="D157" s="40" t="s">
        <v>139</v>
      </c>
      <c r="E157" s="41" t="s">
        <v>161</v>
      </c>
      <c r="F157" s="40"/>
      <c r="G157" s="42" t="s">
        <v>128</v>
      </c>
      <c r="H157" s="43">
        <f>4.92*1.15</f>
        <v>5.6579999999999995</v>
      </c>
      <c r="I157" s="44"/>
      <c r="J157" s="45"/>
      <c r="K157" s="46"/>
      <c r="L157" s="17"/>
      <c r="M157" s="47"/>
      <c r="N157" s="18"/>
      <c r="O157" s="47"/>
      <c r="P157" s="17"/>
      <c r="Q157" s="47"/>
      <c r="R157" s="18"/>
      <c r="S157" s="48"/>
      <c r="T157" s="49"/>
      <c r="U157" s="48"/>
      <c r="V157" s="49"/>
      <c r="W157" s="29"/>
      <c r="X157" s="89" t="s">
        <v>170</v>
      </c>
      <c r="Y157" s="8"/>
      <c r="Z157" s="8"/>
      <c r="AA157" s="95">
        <v>99</v>
      </c>
      <c r="AB157" s="8" t="s">
        <v>182</v>
      </c>
      <c r="AC157" s="8"/>
    </row>
    <row r="158" spans="1:29" ht="28.5" hidden="1" customHeight="1" x14ac:dyDescent="0.2">
      <c r="A158" s="13" t="s">
        <v>9</v>
      </c>
      <c r="B158" s="39"/>
      <c r="C158" s="93" t="s">
        <v>36</v>
      </c>
      <c r="D158" s="40" t="s">
        <v>139</v>
      </c>
      <c r="E158" s="41" t="s">
        <v>213</v>
      </c>
      <c r="F158" s="40"/>
      <c r="G158" s="42" t="s">
        <v>128</v>
      </c>
      <c r="H158" s="43">
        <f>0.13*1.15</f>
        <v>0.14949999999999999</v>
      </c>
      <c r="I158" s="44"/>
      <c r="J158" s="45"/>
      <c r="K158" s="46"/>
      <c r="L158" s="17"/>
      <c r="M158" s="47"/>
      <c r="N158" s="18"/>
      <c r="O158" s="47"/>
      <c r="P158" s="17"/>
      <c r="Q158" s="47"/>
      <c r="R158" s="18"/>
      <c r="S158" s="48"/>
      <c r="T158" s="49"/>
      <c r="U158" s="48"/>
      <c r="V158" s="49"/>
      <c r="W158" s="29"/>
      <c r="X158" s="89" t="s">
        <v>170</v>
      </c>
      <c r="Y158" s="8"/>
      <c r="Z158" s="8"/>
      <c r="AA158" s="95">
        <v>5.4</v>
      </c>
      <c r="AB158" s="8" t="s">
        <v>182</v>
      </c>
      <c r="AC158" s="8"/>
    </row>
    <row r="159" spans="1:29" ht="28.5" hidden="1" customHeight="1" x14ac:dyDescent="0.2">
      <c r="A159" s="13" t="s">
        <v>9</v>
      </c>
      <c r="B159" s="39"/>
      <c r="C159" s="93" t="s">
        <v>36</v>
      </c>
      <c r="D159" s="40" t="s">
        <v>139</v>
      </c>
      <c r="E159" s="41" t="s">
        <v>214</v>
      </c>
      <c r="F159" s="40"/>
      <c r="G159" s="42" t="s">
        <v>128</v>
      </c>
      <c r="H159" s="43">
        <f>2.52*1.15</f>
        <v>2.8979999999999997</v>
      </c>
      <c r="I159" s="44"/>
      <c r="J159" s="45"/>
      <c r="K159" s="46"/>
      <c r="L159" s="17"/>
      <c r="M159" s="47"/>
      <c r="N159" s="18"/>
      <c r="O159" s="47"/>
      <c r="P159" s="17"/>
      <c r="Q159" s="47"/>
      <c r="R159" s="18"/>
      <c r="S159" s="48"/>
      <c r="T159" s="49"/>
      <c r="U159" s="48"/>
      <c r="V159" s="49"/>
      <c r="W159" s="29"/>
      <c r="X159" s="89" t="s">
        <v>170</v>
      </c>
      <c r="Y159" s="8"/>
      <c r="Z159" s="8"/>
      <c r="AA159" s="95">
        <v>33.6</v>
      </c>
      <c r="AB159" s="8" t="s">
        <v>182</v>
      </c>
      <c r="AC159" s="8"/>
    </row>
    <row r="160" spans="1:29" ht="28.5" hidden="1" customHeight="1" x14ac:dyDescent="0.2">
      <c r="A160" s="13" t="s">
        <v>9</v>
      </c>
      <c r="B160" s="39"/>
      <c r="C160" s="93" t="s">
        <v>36</v>
      </c>
      <c r="D160" s="40" t="s">
        <v>139</v>
      </c>
      <c r="E160" s="41" t="s">
        <v>165</v>
      </c>
      <c r="F160" s="40"/>
      <c r="G160" s="42" t="s">
        <v>128</v>
      </c>
      <c r="H160" s="43">
        <f>0.14*1.15</f>
        <v>0.161</v>
      </c>
      <c r="I160" s="44"/>
      <c r="J160" s="45"/>
      <c r="K160" s="46"/>
      <c r="L160" s="17"/>
      <c r="M160" s="47"/>
      <c r="N160" s="18"/>
      <c r="O160" s="47"/>
      <c r="P160" s="17"/>
      <c r="Q160" s="47"/>
      <c r="R160" s="18"/>
      <c r="S160" s="48"/>
      <c r="T160" s="49"/>
      <c r="U160" s="48"/>
      <c r="V160" s="49"/>
      <c r="W160" s="29"/>
      <c r="X160" s="89" t="s">
        <v>170</v>
      </c>
      <c r="Y160" s="8"/>
      <c r="Z160" s="8"/>
      <c r="AA160" s="95">
        <v>2.85</v>
      </c>
      <c r="AB160" s="8" t="s">
        <v>182</v>
      </c>
      <c r="AC160" s="8"/>
    </row>
    <row r="161" spans="1:29" ht="28.5" hidden="1" customHeight="1" x14ac:dyDescent="0.2">
      <c r="A161" s="13" t="s">
        <v>9</v>
      </c>
      <c r="B161" s="39"/>
      <c r="C161" s="93" t="s">
        <v>36</v>
      </c>
      <c r="D161" s="40" t="s">
        <v>139</v>
      </c>
      <c r="E161" s="41" t="s">
        <v>162</v>
      </c>
      <c r="F161" s="40"/>
      <c r="G161" s="42" t="s">
        <v>128</v>
      </c>
      <c r="H161" s="43">
        <f>0.9*1.15</f>
        <v>1.0349999999999999</v>
      </c>
      <c r="I161" s="44"/>
      <c r="J161" s="45"/>
      <c r="K161" s="46"/>
      <c r="L161" s="17"/>
      <c r="M161" s="47"/>
      <c r="N161" s="18"/>
      <c r="O161" s="47"/>
      <c r="P161" s="17"/>
      <c r="Q161" s="47"/>
      <c r="R161" s="18"/>
      <c r="S161" s="48"/>
      <c r="T161" s="49"/>
      <c r="U161" s="48"/>
      <c r="V161" s="49"/>
      <c r="W161" s="29"/>
      <c r="X161" s="89" t="s">
        <v>170</v>
      </c>
      <c r="Y161" s="8"/>
      <c r="Z161" s="8"/>
      <c r="AA161" s="95">
        <v>22.56</v>
      </c>
      <c r="AB161" s="8" t="s">
        <v>182</v>
      </c>
      <c r="AC161" s="8"/>
    </row>
    <row r="162" spans="1:29" ht="28.5" hidden="1" customHeight="1" x14ac:dyDescent="0.2">
      <c r="A162" s="13" t="s">
        <v>9</v>
      </c>
      <c r="B162" s="39"/>
      <c r="C162" s="93" t="s">
        <v>36</v>
      </c>
      <c r="D162" s="40" t="s">
        <v>139</v>
      </c>
      <c r="E162" s="41" t="s">
        <v>215</v>
      </c>
      <c r="F162" s="40"/>
      <c r="G162" s="42" t="s">
        <v>128</v>
      </c>
      <c r="H162" s="43">
        <f>8.74*1.15</f>
        <v>10.051</v>
      </c>
      <c r="I162" s="44"/>
      <c r="J162" s="45"/>
      <c r="K162" s="46"/>
      <c r="L162" s="17"/>
      <c r="M162" s="47"/>
      <c r="N162" s="18"/>
      <c r="O162" s="47"/>
      <c r="P162" s="17"/>
      <c r="Q162" s="47"/>
      <c r="R162" s="18"/>
      <c r="S162" s="48"/>
      <c r="T162" s="49"/>
      <c r="U162" s="48"/>
      <c r="V162" s="49"/>
      <c r="W162" s="29"/>
      <c r="X162" s="89" t="s">
        <v>170</v>
      </c>
      <c r="Y162" s="8"/>
      <c r="Z162" s="8"/>
      <c r="AA162" s="95">
        <v>219</v>
      </c>
      <c r="AB162" s="8" t="s">
        <v>182</v>
      </c>
      <c r="AC162" s="8"/>
    </row>
    <row r="163" spans="1:29" ht="28.5" hidden="1" customHeight="1" x14ac:dyDescent="0.2">
      <c r="A163" s="13" t="s">
        <v>9</v>
      </c>
      <c r="B163" s="39"/>
      <c r="C163" s="93" t="s">
        <v>36</v>
      </c>
      <c r="D163" s="40" t="s">
        <v>139</v>
      </c>
      <c r="E163" s="41" t="s">
        <v>216</v>
      </c>
      <c r="F163" s="40"/>
      <c r="G163" s="42" t="s">
        <v>128</v>
      </c>
      <c r="H163" s="43">
        <f>0.26*1.15</f>
        <v>0.29899999999999999</v>
      </c>
      <c r="I163" s="44"/>
      <c r="J163" s="45"/>
      <c r="K163" s="46"/>
      <c r="L163" s="17"/>
      <c r="M163" s="47"/>
      <c r="N163" s="18"/>
      <c r="O163" s="47"/>
      <c r="P163" s="17"/>
      <c r="Q163" s="47"/>
      <c r="R163" s="18"/>
      <c r="S163" s="48"/>
      <c r="T163" s="49"/>
      <c r="U163" s="48"/>
      <c r="V163" s="49"/>
      <c r="W163" s="29"/>
      <c r="X163" s="89" t="s">
        <v>170</v>
      </c>
      <c r="Y163" s="8"/>
      <c r="Z163" s="8"/>
      <c r="AA163" s="95">
        <v>10.8</v>
      </c>
      <c r="AB163" s="8" t="s">
        <v>182</v>
      </c>
      <c r="AC163" s="8"/>
    </row>
    <row r="164" spans="1:29" ht="28.5" hidden="1" customHeight="1" x14ac:dyDescent="0.2">
      <c r="A164" s="13" t="s">
        <v>9</v>
      </c>
      <c r="B164" s="39"/>
      <c r="C164" s="93" t="s">
        <v>36</v>
      </c>
      <c r="D164" s="40" t="s">
        <v>139</v>
      </c>
      <c r="E164" s="41" t="s">
        <v>169</v>
      </c>
      <c r="F164" s="40"/>
      <c r="G164" s="42" t="s">
        <v>128</v>
      </c>
      <c r="H164" s="43">
        <f>0.1*1.15</f>
        <v>0.11499999999999999</v>
      </c>
      <c r="I164" s="44"/>
      <c r="J164" s="45"/>
      <c r="K164" s="46"/>
      <c r="L164" s="17"/>
      <c r="M164" s="47"/>
      <c r="N164" s="18"/>
      <c r="O164" s="47"/>
      <c r="P164" s="17"/>
      <c r="Q164" s="47"/>
      <c r="R164" s="18"/>
      <c r="S164" s="48"/>
      <c r="T164" s="49"/>
      <c r="U164" s="48"/>
      <c r="V164" s="49"/>
      <c r="W164" s="29"/>
      <c r="X164" s="89" t="s">
        <v>170</v>
      </c>
      <c r="Y164" s="8"/>
      <c r="Z164" s="8"/>
      <c r="AA164" s="95">
        <v>2.4</v>
      </c>
      <c r="AB164" s="8" t="s">
        <v>182</v>
      </c>
      <c r="AC164" s="8"/>
    </row>
    <row r="165" spans="1:29" ht="28.5" hidden="1" customHeight="1" x14ac:dyDescent="0.2">
      <c r="A165" s="13" t="s">
        <v>9</v>
      </c>
      <c r="B165" s="39"/>
      <c r="C165" s="93" t="s">
        <v>36</v>
      </c>
      <c r="D165" s="40" t="s">
        <v>139</v>
      </c>
      <c r="E165" s="41" t="s">
        <v>168</v>
      </c>
      <c r="F165" s="40"/>
      <c r="G165" s="42" t="s">
        <v>128</v>
      </c>
      <c r="H165" s="43">
        <f>0.08*1.15</f>
        <v>9.1999999999999998E-2</v>
      </c>
      <c r="I165" s="44"/>
      <c r="J165" s="45"/>
      <c r="K165" s="46"/>
      <c r="L165" s="17"/>
      <c r="M165" s="47"/>
      <c r="N165" s="18"/>
      <c r="O165" s="47"/>
      <c r="P165" s="17"/>
      <c r="Q165" s="47"/>
      <c r="R165" s="18"/>
      <c r="S165" s="48"/>
      <c r="T165" s="49"/>
      <c r="U165" s="48"/>
      <c r="V165" s="49"/>
      <c r="W165" s="29"/>
      <c r="X165" s="89" t="s">
        <v>170</v>
      </c>
      <c r="Y165" s="8"/>
      <c r="Z165" s="8"/>
      <c r="AA165" s="95">
        <v>1.2</v>
      </c>
      <c r="AB165" s="8" t="s">
        <v>182</v>
      </c>
      <c r="AC165" s="8"/>
    </row>
    <row r="166" spans="1:29" ht="28.5" hidden="1" customHeight="1" x14ac:dyDescent="0.2">
      <c r="A166" s="13" t="s">
        <v>9</v>
      </c>
      <c r="B166" s="39"/>
      <c r="C166" s="93" t="s">
        <v>36</v>
      </c>
      <c r="D166" s="40" t="s">
        <v>139</v>
      </c>
      <c r="E166" s="41" t="s">
        <v>167</v>
      </c>
      <c r="F166" s="40"/>
      <c r="G166" s="42" t="s">
        <v>128</v>
      </c>
      <c r="H166" s="43">
        <f>0.05*1.15</f>
        <v>5.7499999999999996E-2</v>
      </c>
      <c r="I166" s="44"/>
      <c r="J166" s="45"/>
      <c r="K166" s="46"/>
      <c r="L166" s="17"/>
      <c r="M166" s="47"/>
      <c r="N166" s="18"/>
      <c r="O166" s="47"/>
      <c r="P166" s="17"/>
      <c r="Q166" s="47"/>
      <c r="R166" s="18"/>
      <c r="S166" s="48"/>
      <c r="T166" s="49"/>
      <c r="U166" s="48"/>
      <c r="V166" s="49"/>
      <c r="W166" s="29"/>
      <c r="X166" s="89" t="s">
        <v>170</v>
      </c>
      <c r="Y166" s="8"/>
      <c r="Z166" s="8"/>
      <c r="AA166" s="95">
        <v>0.6</v>
      </c>
      <c r="AB166" s="8" t="s">
        <v>182</v>
      </c>
      <c r="AC166" s="8"/>
    </row>
    <row r="167" spans="1:29" ht="28.5" hidden="1" customHeight="1" x14ac:dyDescent="0.2">
      <c r="A167" s="13" t="s">
        <v>9</v>
      </c>
      <c r="B167" s="39"/>
      <c r="C167" s="93" t="s">
        <v>36</v>
      </c>
      <c r="D167" s="40" t="s">
        <v>139</v>
      </c>
      <c r="E167" s="41" t="s">
        <v>166</v>
      </c>
      <c r="F167" s="40"/>
      <c r="G167" s="42" t="s">
        <v>128</v>
      </c>
      <c r="H167" s="43">
        <f>0.03*1.15</f>
        <v>3.4499999999999996E-2</v>
      </c>
      <c r="I167" s="44"/>
      <c r="J167" s="45"/>
      <c r="K167" s="46"/>
      <c r="L167" s="17"/>
      <c r="M167" s="47"/>
      <c r="N167" s="18"/>
      <c r="O167" s="47"/>
      <c r="P167" s="17"/>
      <c r="Q167" s="47"/>
      <c r="R167" s="18"/>
      <c r="S167" s="48"/>
      <c r="T167" s="49"/>
      <c r="U167" s="48"/>
      <c r="V167" s="49"/>
      <c r="W167" s="29"/>
      <c r="X167" s="89" t="s">
        <v>170</v>
      </c>
      <c r="Y167" s="8"/>
      <c r="Z167" s="8"/>
      <c r="AA167" s="95">
        <v>0.96</v>
      </c>
      <c r="AB167" s="8" t="s">
        <v>182</v>
      </c>
      <c r="AC167" s="8"/>
    </row>
    <row r="168" spans="1:29" ht="28.5" hidden="1" customHeight="1" x14ac:dyDescent="0.2">
      <c r="A168" s="13" t="s">
        <v>9</v>
      </c>
      <c r="B168" s="39"/>
      <c r="C168" s="93" t="s">
        <v>36</v>
      </c>
      <c r="D168" s="40" t="s">
        <v>139</v>
      </c>
      <c r="E168" s="41" t="s">
        <v>217</v>
      </c>
      <c r="F168" s="40"/>
      <c r="G168" s="42" t="s">
        <v>128</v>
      </c>
      <c r="H168" s="43">
        <f>0.24*1.15</f>
        <v>0.27599999999999997</v>
      </c>
      <c r="I168" s="44"/>
      <c r="J168" s="45"/>
      <c r="K168" s="46"/>
      <c r="L168" s="17"/>
      <c r="M168" s="47"/>
      <c r="N168" s="18"/>
      <c r="O168" s="47"/>
      <c r="P168" s="17"/>
      <c r="Q168" s="47"/>
      <c r="R168" s="18"/>
      <c r="S168" s="48"/>
      <c r="T168" s="49"/>
      <c r="U168" s="48"/>
      <c r="V168" s="49"/>
      <c r="W168" s="29"/>
      <c r="X168" s="89" t="s">
        <v>170</v>
      </c>
      <c r="Y168" s="8"/>
      <c r="Z168" s="8"/>
      <c r="AA168" s="95">
        <v>6</v>
      </c>
      <c r="AB168" s="8" t="s">
        <v>182</v>
      </c>
      <c r="AC168" s="8"/>
    </row>
    <row r="169" spans="1:29" s="69" customFormat="1" ht="28.5" customHeight="1" x14ac:dyDescent="0.2">
      <c r="A169" s="66" t="s">
        <v>8</v>
      </c>
      <c r="B169" s="33" t="s">
        <v>206</v>
      </c>
      <c r="C169" s="23" t="s">
        <v>36</v>
      </c>
      <c r="D169" s="23" t="s">
        <v>139</v>
      </c>
      <c r="E169" s="24" t="s">
        <v>140</v>
      </c>
      <c r="F169" s="36"/>
      <c r="G169" s="37" t="s">
        <v>119</v>
      </c>
      <c r="H169" s="38">
        <v>40</v>
      </c>
      <c r="I169" s="25"/>
      <c r="J169" s="34"/>
      <c r="K169" s="32"/>
      <c r="L169" s="26"/>
      <c r="M169" s="67"/>
      <c r="N169" s="28"/>
      <c r="O169" s="67"/>
      <c r="P169" s="26"/>
      <c r="Q169" s="67"/>
      <c r="R169" s="28"/>
      <c r="S169" s="27"/>
      <c r="T169" s="28"/>
      <c r="U169" s="27"/>
      <c r="V169" s="28"/>
      <c r="W169" s="68"/>
      <c r="X169" s="88"/>
      <c r="Y169" s="88"/>
      <c r="Z169" s="88"/>
      <c r="AA169" s="88"/>
      <c r="AB169" s="88"/>
      <c r="AC169" s="88"/>
    </row>
    <row r="170" spans="1:29" ht="28.5" hidden="1" customHeight="1" x14ac:dyDescent="0.2">
      <c r="A170" s="13" t="s">
        <v>9</v>
      </c>
      <c r="B170" s="39"/>
      <c r="C170" s="93" t="s">
        <v>36</v>
      </c>
      <c r="D170" s="40" t="s">
        <v>139</v>
      </c>
      <c r="E170" s="41" t="s">
        <v>118</v>
      </c>
      <c r="F170" s="40"/>
      <c r="G170" s="42" t="s">
        <v>105</v>
      </c>
      <c r="H170" s="43">
        <f>H169*0.08*1.13</f>
        <v>3.6159999999999997</v>
      </c>
      <c r="I170" s="44"/>
      <c r="J170" s="45"/>
      <c r="K170" s="46"/>
      <c r="L170" s="17"/>
      <c r="M170" s="47"/>
      <c r="N170" s="18"/>
      <c r="O170" s="47"/>
      <c r="P170" s="17"/>
      <c r="Q170" s="47"/>
      <c r="R170" s="18"/>
      <c r="S170" s="48"/>
      <c r="T170" s="49"/>
      <c r="U170" s="48"/>
      <c r="V170" s="49"/>
      <c r="W170" s="29"/>
      <c r="X170" s="89" t="s">
        <v>122</v>
      </c>
      <c r="Y170" s="8"/>
      <c r="Z170" s="8"/>
      <c r="AA170" s="8"/>
      <c r="AB170" s="8"/>
      <c r="AC170" s="8"/>
    </row>
    <row r="171" spans="1:29" ht="28.5" hidden="1" customHeight="1" x14ac:dyDescent="0.2">
      <c r="A171" s="13" t="s">
        <v>9</v>
      </c>
      <c r="B171" s="39"/>
      <c r="C171" s="93" t="s">
        <v>36</v>
      </c>
      <c r="D171" s="40" t="s">
        <v>139</v>
      </c>
      <c r="E171" s="41" t="s">
        <v>121</v>
      </c>
      <c r="F171" s="40"/>
      <c r="G171" s="42" t="s">
        <v>105</v>
      </c>
      <c r="H171" s="43">
        <f>H169*0.14*2*1.13</f>
        <v>12.656000000000001</v>
      </c>
      <c r="I171" s="44"/>
      <c r="J171" s="45"/>
      <c r="K171" s="46"/>
      <c r="L171" s="17"/>
      <c r="M171" s="47"/>
      <c r="N171" s="18"/>
      <c r="O171" s="47"/>
      <c r="P171" s="17"/>
      <c r="Q171" s="47"/>
      <c r="R171" s="18"/>
      <c r="S171" s="48"/>
      <c r="T171" s="49"/>
      <c r="U171" s="48"/>
      <c r="V171" s="49"/>
      <c r="W171" s="29"/>
      <c r="X171" s="89" t="s">
        <v>123</v>
      </c>
      <c r="Y171" s="8"/>
      <c r="Z171" s="8"/>
      <c r="AA171" s="8"/>
      <c r="AB171" s="8"/>
      <c r="AC171" s="8"/>
    </row>
    <row r="172" spans="1:29" s="69" customFormat="1" ht="28.5" customHeight="1" x14ac:dyDescent="0.2">
      <c r="A172" s="66" t="s">
        <v>8</v>
      </c>
      <c r="B172" s="33" t="s">
        <v>207</v>
      </c>
      <c r="C172" s="23" t="s">
        <v>36</v>
      </c>
      <c r="D172" s="23" t="s">
        <v>139</v>
      </c>
      <c r="E172" s="24" t="s">
        <v>360</v>
      </c>
      <c r="F172" s="36"/>
      <c r="G172" s="37" t="s">
        <v>119</v>
      </c>
      <c r="H172" s="38">
        <f>AA134</f>
        <v>703.67740000000003</v>
      </c>
      <c r="I172" s="25"/>
      <c r="J172" s="34"/>
      <c r="K172" s="32"/>
      <c r="L172" s="26"/>
      <c r="M172" s="67"/>
      <c r="N172" s="28"/>
      <c r="O172" s="67"/>
      <c r="P172" s="26"/>
      <c r="Q172" s="67"/>
      <c r="R172" s="28"/>
      <c r="S172" s="27"/>
      <c r="T172" s="28"/>
      <c r="U172" s="27"/>
      <c r="V172" s="28"/>
      <c r="W172" s="68"/>
      <c r="X172" s="88"/>
      <c r="Y172" s="88"/>
      <c r="Z172" s="88"/>
      <c r="AA172" s="88"/>
      <c r="AB172" s="88"/>
      <c r="AC172" s="88"/>
    </row>
    <row r="173" spans="1:29" ht="28.5" hidden="1" customHeight="1" x14ac:dyDescent="0.2">
      <c r="A173" s="13" t="s">
        <v>9</v>
      </c>
      <c r="B173" s="39"/>
      <c r="C173" s="93" t="s">
        <v>36</v>
      </c>
      <c r="D173" s="40" t="s">
        <v>139</v>
      </c>
      <c r="E173" s="41" t="s">
        <v>181</v>
      </c>
      <c r="F173" s="40"/>
      <c r="G173" s="42" t="s">
        <v>184</v>
      </c>
      <c r="H173" s="43">
        <f>H172*0.3</f>
        <v>211.10321999999999</v>
      </c>
      <c r="I173" s="44"/>
      <c r="J173" s="45"/>
      <c r="K173" s="46"/>
      <c r="L173" s="17"/>
      <c r="M173" s="47"/>
      <c r="N173" s="18"/>
      <c r="O173" s="47"/>
      <c r="P173" s="17"/>
      <c r="Q173" s="47"/>
      <c r="R173" s="18"/>
      <c r="S173" s="48"/>
      <c r="T173" s="49"/>
      <c r="U173" s="48"/>
      <c r="V173" s="49"/>
      <c r="W173" s="29"/>
      <c r="X173" s="89" t="s">
        <v>183</v>
      </c>
      <c r="Y173" s="8"/>
      <c r="Z173" s="8"/>
      <c r="AA173" s="8"/>
      <c r="AB173" s="8"/>
      <c r="AC173" s="8"/>
    </row>
    <row r="174" spans="1:29" s="69" customFormat="1" ht="28.5" customHeight="1" x14ac:dyDescent="0.2">
      <c r="A174" s="66" t="s">
        <v>8</v>
      </c>
      <c r="B174" s="33" t="s">
        <v>208</v>
      </c>
      <c r="C174" s="23" t="s">
        <v>36</v>
      </c>
      <c r="D174" s="23" t="s">
        <v>139</v>
      </c>
      <c r="E174" s="24" t="s">
        <v>186</v>
      </c>
      <c r="F174" s="36"/>
      <c r="G174" s="37" t="s">
        <v>119</v>
      </c>
      <c r="H174" s="38">
        <f>H172*3/100</f>
        <v>21.110322</v>
      </c>
      <c r="I174" s="25"/>
      <c r="J174" s="34"/>
      <c r="K174" s="32"/>
      <c r="L174" s="26"/>
      <c r="M174" s="67"/>
      <c r="N174" s="28"/>
      <c r="O174" s="67"/>
      <c r="P174" s="26"/>
      <c r="Q174" s="67"/>
      <c r="R174" s="28"/>
      <c r="S174" s="27"/>
      <c r="T174" s="28"/>
      <c r="U174" s="27"/>
      <c r="V174" s="28"/>
      <c r="W174" s="68"/>
      <c r="X174" s="68" t="s">
        <v>188</v>
      </c>
      <c r="Y174" s="88"/>
      <c r="Z174" s="88"/>
      <c r="AA174" s="88"/>
      <c r="AB174" s="88"/>
      <c r="AC174" s="88"/>
    </row>
    <row r="175" spans="1:29" ht="28.5" hidden="1" customHeight="1" x14ac:dyDescent="0.2">
      <c r="A175" s="13" t="s">
        <v>9</v>
      </c>
      <c r="B175" s="39"/>
      <c r="C175" s="93" t="s">
        <v>36</v>
      </c>
      <c r="D175" s="40" t="s">
        <v>139</v>
      </c>
      <c r="E175" s="41" t="s">
        <v>171</v>
      </c>
      <c r="F175" s="40"/>
      <c r="G175" s="42" t="s">
        <v>119</v>
      </c>
      <c r="H175" s="43">
        <f>H174*1.12</f>
        <v>23.643560640000004</v>
      </c>
      <c r="I175" s="44"/>
      <c r="J175" s="45"/>
      <c r="K175" s="46"/>
      <c r="L175" s="17"/>
      <c r="M175" s="47"/>
      <c r="N175" s="18"/>
      <c r="O175" s="47"/>
      <c r="P175" s="17"/>
      <c r="Q175" s="47"/>
      <c r="R175" s="18"/>
      <c r="S175" s="48"/>
      <c r="T175" s="49"/>
      <c r="U175" s="48"/>
      <c r="V175" s="49"/>
      <c r="W175" s="29"/>
      <c r="X175" s="89" t="s">
        <v>187</v>
      </c>
      <c r="Y175" s="8"/>
      <c r="Z175" s="8"/>
      <c r="AA175" s="8"/>
      <c r="AB175" s="8"/>
      <c r="AC175" s="8"/>
    </row>
    <row r="176" spans="1:29" s="85" customFormat="1" ht="28.5" customHeight="1" x14ac:dyDescent="0.2">
      <c r="A176" s="70" t="s">
        <v>14</v>
      </c>
      <c r="B176" s="71">
        <v>7</v>
      </c>
      <c r="C176" s="72" t="s">
        <v>36</v>
      </c>
      <c r="D176" s="75" t="s">
        <v>139</v>
      </c>
      <c r="E176" s="74" t="s">
        <v>232</v>
      </c>
      <c r="F176" s="75"/>
      <c r="G176" s="73"/>
      <c r="H176" s="76"/>
      <c r="I176" s="77"/>
      <c r="J176" s="76"/>
      <c r="K176" s="78"/>
      <c r="L176" s="79"/>
      <c r="M176" s="80"/>
      <c r="N176" s="81"/>
      <c r="O176" s="82"/>
      <c r="P176" s="79"/>
      <c r="Q176" s="80"/>
      <c r="R176" s="81"/>
      <c r="S176" s="80"/>
      <c r="T176" s="83"/>
      <c r="U176" s="84"/>
      <c r="V176" s="83"/>
    </row>
    <row r="177" spans="1:29" s="69" customFormat="1" ht="38.25" customHeight="1" x14ac:dyDescent="0.2">
      <c r="A177" s="66" t="s">
        <v>8</v>
      </c>
      <c r="B177" s="33" t="s">
        <v>200</v>
      </c>
      <c r="C177" s="23" t="s">
        <v>36</v>
      </c>
      <c r="D177" s="23" t="s">
        <v>139</v>
      </c>
      <c r="E177" s="24" t="s">
        <v>359</v>
      </c>
      <c r="F177" s="36"/>
      <c r="G177" s="37" t="s">
        <v>128</v>
      </c>
      <c r="H177" s="38">
        <f>SUM(H178:H207)/1.15</f>
        <v>42</v>
      </c>
      <c r="I177" s="25"/>
      <c r="J177" s="34"/>
      <c r="K177" s="32"/>
      <c r="L177" s="26"/>
      <c r="M177" s="67"/>
      <c r="N177" s="28"/>
      <c r="O177" s="67"/>
      <c r="P177" s="26"/>
      <c r="Q177" s="67"/>
      <c r="R177" s="28"/>
      <c r="S177" s="27"/>
      <c r="T177" s="28"/>
      <c r="U177" s="27"/>
      <c r="V177" s="28"/>
      <c r="W177" s="68"/>
      <c r="X177" s="114" t="s">
        <v>511</v>
      </c>
      <c r="Y177" s="114"/>
      <c r="Z177" s="114"/>
      <c r="AA177" s="96">
        <f>SUM(AA178:AA207)</f>
        <v>622.33510000000001</v>
      </c>
      <c r="AB177" s="88" t="s">
        <v>182</v>
      </c>
      <c r="AC177" s="88"/>
    </row>
    <row r="178" spans="1:29" ht="28.5" hidden="1" customHeight="1" x14ac:dyDescent="0.2">
      <c r="A178" s="13" t="s">
        <v>9</v>
      </c>
      <c r="B178" s="39"/>
      <c r="C178" s="93" t="s">
        <v>36</v>
      </c>
      <c r="D178" s="40" t="s">
        <v>139</v>
      </c>
      <c r="E178" s="41" t="s">
        <v>209</v>
      </c>
      <c r="F178" s="40"/>
      <c r="G178" s="42" t="s">
        <v>128</v>
      </c>
      <c r="H178" s="43">
        <f>9.2*1.15</f>
        <v>10.579999999999998</v>
      </c>
      <c r="I178" s="44"/>
      <c r="J178" s="45"/>
      <c r="K178" s="46"/>
      <c r="L178" s="17"/>
      <c r="M178" s="47"/>
      <c r="N178" s="18"/>
      <c r="O178" s="47"/>
      <c r="P178" s="17"/>
      <c r="Q178" s="47"/>
      <c r="R178" s="18"/>
      <c r="S178" s="48"/>
      <c r="T178" s="49"/>
      <c r="U178" s="48"/>
      <c r="V178" s="49"/>
      <c r="W178" s="29"/>
      <c r="X178" s="89" t="s">
        <v>170</v>
      </c>
      <c r="Y178" s="8"/>
      <c r="Z178" s="8"/>
      <c r="AA178" s="95">
        <v>92.4</v>
      </c>
      <c r="AB178" s="8" t="s">
        <v>182</v>
      </c>
      <c r="AC178" s="8"/>
    </row>
    <row r="179" spans="1:29" ht="28.5" hidden="1" customHeight="1" x14ac:dyDescent="0.2">
      <c r="A179" s="13" t="s">
        <v>9</v>
      </c>
      <c r="B179" s="39"/>
      <c r="C179" s="93" t="s">
        <v>36</v>
      </c>
      <c r="D179" s="40" t="s">
        <v>139</v>
      </c>
      <c r="E179" s="41" t="s">
        <v>142</v>
      </c>
      <c r="F179" s="40"/>
      <c r="G179" s="42" t="s">
        <v>128</v>
      </c>
      <c r="H179" s="43">
        <f>4.22*1.15</f>
        <v>4.8529999999999998</v>
      </c>
      <c r="I179" s="44"/>
      <c r="J179" s="45"/>
      <c r="K179" s="46"/>
      <c r="L179" s="17"/>
      <c r="M179" s="47"/>
      <c r="N179" s="18"/>
      <c r="O179" s="47"/>
      <c r="P179" s="17"/>
      <c r="Q179" s="47"/>
      <c r="R179" s="18"/>
      <c r="S179" s="48"/>
      <c r="T179" s="49"/>
      <c r="U179" s="48"/>
      <c r="V179" s="49"/>
      <c r="W179" s="29"/>
      <c r="X179" s="89" t="s">
        <v>170</v>
      </c>
      <c r="Y179" s="8"/>
      <c r="Z179" s="8"/>
      <c r="AA179" s="95">
        <v>43.2</v>
      </c>
      <c r="AB179" s="8" t="s">
        <v>182</v>
      </c>
      <c r="AC179" s="8"/>
    </row>
    <row r="180" spans="1:29" ht="28.5" hidden="1" customHeight="1" x14ac:dyDescent="0.2">
      <c r="A180" s="13" t="s">
        <v>9</v>
      </c>
      <c r="B180" s="39"/>
      <c r="C180" s="93" t="s">
        <v>36</v>
      </c>
      <c r="D180" s="40" t="s">
        <v>139</v>
      </c>
      <c r="E180" s="41" t="s">
        <v>250</v>
      </c>
      <c r="F180" s="40"/>
      <c r="G180" s="42" t="s">
        <v>128</v>
      </c>
      <c r="H180" s="43">
        <f>1.31*1.15</f>
        <v>1.5065</v>
      </c>
      <c r="I180" s="44"/>
      <c r="J180" s="45"/>
      <c r="K180" s="46"/>
      <c r="L180" s="17"/>
      <c r="M180" s="47"/>
      <c r="N180" s="18"/>
      <c r="O180" s="47"/>
      <c r="P180" s="17"/>
      <c r="Q180" s="47"/>
      <c r="R180" s="18"/>
      <c r="S180" s="48"/>
      <c r="T180" s="49"/>
      <c r="U180" s="48"/>
      <c r="V180" s="49"/>
      <c r="W180" s="29"/>
      <c r="X180" s="89" t="s">
        <v>170</v>
      </c>
      <c r="Y180" s="8"/>
      <c r="Z180" s="8"/>
      <c r="AA180" s="95">
        <v>13.2</v>
      </c>
      <c r="AB180" s="8" t="s">
        <v>182</v>
      </c>
      <c r="AC180" s="8"/>
    </row>
    <row r="181" spans="1:29" ht="28.5" hidden="1" customHeight="1" x14ac:dyDescent="0.2">
      <c r="A181" s="13" t="s">
        <v>9</v>
      </c>
      <c r="B181" s="39"/>
      <c r="C181" s="93" t="s">
        <v>36</v>
      </c>
      <c r="D181" s="40" t="s">
        <v>139</v>
      </c>
      <c r="E181" s="41" t="s">
        <v>149</v>
      </c>
      <c r="F181" s="40"/>
      <c r="G181" s="42" t="s">
        <v>128</v>
      </c>
      <c r="H181" s="43">
        <f>0.84*1.15</f>
        <v>0.96599999999999986</v>
      </c>
      <c r="I181" s="44"/>
      <c r="J181" s="45"/>
      <c r="K181" s="46"/>
      <c r="L181" s="17"/>
      <c r="M181" s="47"/>
      <c r="N181" s="18"/>
      <c r="O181" s="47"/>
      <c r="P181" s="17"/>
      <c r="Q181" s="47"/>
      <c r="R181" s="18"/>
      <c r="S181" s="48"/>
      <c r="T181" s="49"/>
      <c r="U181" s="48"/>
      <c r="V181" s="49"/>
      <c r="W181" s="29"/>
      <c r="X181" s="89" t="s">
        <v>170</v>
      </c>
      <c r="Y181" s="8"/>
      <c r="Z181" s="8"/>
      <c r="AA181" s="95">
        <v>9</v>
      </c>
      <c r="AB181" s="8" t="s">
        <v>182</v>
      </c>
      <c r="AC181" s="8"/>
    </row>
    <row r="182" spans="1:29" ht="28.5" hidden="1" customHeight="1" x14ac:dyDescent="0.2">
      <c r="A182" s="13" t="s">
        <v>9</v>
      </c>
      <c r="B182" s="39"/>
      <c r="C182" s="93" t="s">
        <v>36</v>
      </c>
      <c r="D182" s="40" t="s">
        <v>139</v>
      </c>
      <c r="E182" s="41" t="s">
        <v>211</v>
      </c>
      <c r="F182" s="40"/>
      <c r="G182" s="42" t="s">
        <v>128</v>
      </c>
      <c r="H182" s="43">
        <f>0.69*1.15</f>
        <v>0.79349999999999987</v>
      </c>
      <c r="I182" s="44"/>
      <c r="J182" s="45"/>
      <c r="K182" s="46"/>
      <c r="L182" s="17"/>
      <c r="M182" s="47"/>
      <c r="N182" s="18"/>
      <c r="O182" s="47"/>
      <c r="P182" s="17"/>
      <c r="Q182" s="47"/>
      <c r="R182" s="18"/>
      <c r="S182" s="48"/>
      <c r="T182" s="49"/>
      <c r="U182" s="48"/>
      <c r="V182" s="49"/>
      <c r="W182" s="29"/>
      <c r="X182" s="89" t="s">
        <v>170</v>
      </c>
      <c r="Y182" s="8"/>
      <c r="Z182" s="8"/>
      <c r="AA182" s="95">
        <v>14.007</v>
      </c>
      <c r="AB182" s="8" t="s">
        <v>182</v>
      </c>
      <c r="AC182" s="8"/>
    </row>
    <row r="183" spans="1:29" ht="28.5" hidden="1" customHeight="1" x14ac:dyDescent="0.2">
      <c r="A183" s="13" t="s">
        <v>9</v>
      </c>
      <c r="B183" s="39"/>
      <c r="C183" s="93" t="s">
        <v>36</v>
      </c>
      <c r="D183" s="40" t="s">
        <v>139</v>
      </c>
      <c r="E183" s="41" t="s">
        <v>212</v>
      </c>
      <c r="F183" s="40"/>
      <c r="G183" s="42" t="s">
        <v>128</v>
      </c>
      <c r="H183" s="43">
        <f>0.18*1.15</f>
        <v>0.20699999999999999</v>
      </c>
      <c r="I183" s="44"/>
      <c r="J183" s="45"/>
      <c r="K183" s="46"/>
      <c r="L183" s="17"/>
      <c r="M183" s="47"/>
      <c r="N183" s="18"/>
      <c r="O183" s="47"/>
      <c r="P183" s="17"/>
      <c r="Q183" s="47"/>
      <c r="R183" s="18"/>
      <c r="S183" s="48"/>
      <c r="T183" s="49"/>
      <c r="U183" s="48"/>
      <c r="V183" s="49"/>
      <c r="W183" s="29"/>
      <c r="X183" s="89" t="s">
        <v>170</v>
      </c>
      <c r="Y183" s="8"/>
      <c r="Z183" s="8"/>
      <c r="AA183" s="95">
        <v>3.69</v>
      </c>
      <c r="AB183" s="8" t="s">
        <v>182</v>
      </c>
      <c r="AC183" s="8"/>
    </row>
    <row r="184" spans="1:29" ht="28.5" hidden="1" customHeight="1" x14ac:dyDescent="0.2">
      <c r="A184" s="13" t="s">
        <v>9</v>
      </c>
      <c r="B184" s="39"/>
      <c r="C184" s="93" t="s">
        <v>36</v>
      </c>
      <c r="D184" s="40" t="s">
        <v>139</v>
      </c>
      <c r="E184" s="41" t="s">
        <v>251</v>
      </c>
      <c r="F184" s="40"/>
      <c r="G184" s="42" t="s">
        <v>128</v>
      </c>
      <c r="H184" s="43">
        <f>0.2*1.15</f>
        <v>0.22999999999999998</v>
      </c>
      <c r="I184" s="44"/>
      <c r="J184" s="45"/>
      <c r="K184" s="46"/>
      <c r="L184" s="17"/>
      <c r="M184" s="47"/>
      <c r="N184" s="18"/>
      <c r="O184" s="47"/>
      <c r="P184" s="17"/>
      <c r="Q184" s="47"/>
      <c r="R184" s="18"/>
      <c r="S184" s="48"/>
      <c r="T184" s="49"/>
      <c r="U184" s="48"/>
      <c r="V184" s="49"/>
      <c r="W184" s="29"/>
      <c r="X184" s="89" t="s">
        <v>170</v>
      </c>
      <c r="Y184" s="8"/>
      <c r="Z184" s="8"/>
      <c r="AA184" s="95">
        <v>4.05</v>
      </c>
      <c r="AB184" s="8" t="s">
        <v>182</v>
      </c>
      <c r="AC184" s="8"/>
    </row>
    <row r="185" spans="1:29" ht="28.5" hidden="1" customHeight="1" x14ac:dyDescent="0.2">
      <c r="A185" s="13" t="s">
        <v>9</v>
      </c>
      <c r="B185" s="39"/>
      <c r="C185" s="93" t="s">
        <v>36</v>
      </c>
      <c r="D185" s="40" t="s">
        <v>139</v>
      </c>
      <c r="E185" s="41" t="s">
        <v>150</v>
      </c>
      <c r="F185" s="40"/>
      <c r="G185" s="42" t="s">
        <v>128</v>
      </c>
      <c r="H185" s="43">
        <f>0.62*1.15</f>
        <v>0.71299999999999997</v>
      </c>
      <c r="I185" s="44"/>
      <c r="J185" s="45"/>
      <c r="K185" s="46"/>
      <c r="L185" s="17"/>
      <c r="M185" s="47"/>
      <c r="N185" s="18"/>
      <c r="O185" s="47"/>
      <c r="P185" s="17"/>
      <c r="Q185" s="47"/>
      <c r="R185" s="18"/>
      <c r="S185" s="48"/>
      <c r="T185" s="49"/>
      <c r="U185" s="48"/>
      <c r="V185" s="49"/>
      <c r="W185" s="29"/>
      <c r="X185" s="89" t="s">
        <v>170</v>
      </c>
      <c r="Y185" s="8"/>
      <c r="Z185" s="8"/>
      <c r="AA185" s="95">
        <v>6.2320000000000002</v>
      </c>
      <c r="AB185" s="8" t="s">
        <v>182</v>
      </c>
      <c r="AC185" s="8"/>
    </row>
    <row r="186" spans="1:29" ht="28.5" hidden="1" customHeight="1" x14ac:dyDescent="0.2">
      <c r="A186" s="13" t="s">
        <v>9</v>
      </c>
      <c r="B186" s="39"/>
      <c r="C186" s="93" t="s">
        <v>36</v>
      </c>
      <c r="D186" s="40" t="s">
        <v>139</v>
      </c>
      <c r="E186" s="41" t="s">
        <v>152</v>
      </c>
      <c r="F186" s="40"/>
      <c r="G186" s="42" t="s">
        <v>128</v>
      </c>
      <c r="H186" s="43">
        <f>1.13*1.15</f>
        <v>1.2994999999999999</v>
      </c>
      <c r="I186" s="44"/>
      <c r="J186" s="45"/>
      <c r="K186" s="46"/>
      <c r="L186" s="17"/>
      <c r="M186" s="47"/>
      <c r="N186" s="18"/>
      <c r="O186" s="47"/>
      <c r="P186" s="17"/>
      <c r="Q186" s="47"/>
      <c r="R186" s="18"/>
      <c r="S186" s="48"/>
      <c r="T186" s="49"/>
      <c r="U186" s="48"/>
      <c r="V186" s="49"/>
      <c r="W186" s="29"/>
      <c r="X186" s="89" t="s">
        <v>170</v>
      </c>
      <c r="Y186" s="8"/>
      <c r="Z186" s="8"/>
      <c r="AA186" s="95">
        <v>11.7563</v>
      </c>
      <c r="AB186" s="8" t="s">
        <v>182</v>
      </c>
      <c r="AC186" s="8"/>
    </row>
    <row r="187" spans="1:29" ht="28.5" hidden="1" customHeight="1" x14ac:dyDescent="0.2">
      <c r="A187" s="13" t="s">
        <v>9</v>
      </c>
      <c r="B187" s="39"/>
      <c r="C187" s="93" t="s">
        <v>36</v>
      </c>
      <c r="D187" s="40" t="s">
        <v>139</v>
      </c>
      <c r="E187" s="41" t="s">
        <v>210</v>
      </c>
      <c r="F187" s="40"/>
      <c r="G187" s="42" t="s">
        <v>128</v>
      </c>
      <c r="H187" s="43">
        <f>0.92*1.15</f>
        <v>1.0580000000000001</v>
      </c>
      <c r="I187" s="44"/>
      <c r="J187" s="45"/>
      <c r="K187" s="46"/>
      <c r="L187" s="17"/>
      <c r="M187" s="47"/>
      <c r="N187" s="18"/>
      <c r="O187" s="47"/>
      <c r="P187" s="17"/>
      <c r="Q187" s="47"/>
      <c r="R187" s="18"/>
      <c r="S187" s="48"/>
      <c r="T187" s="49"/>
      <c r="U187" s="48"/>
      <c r="V187" s="49"/>
      <c r="W187" s="29"/>
      <c r="X187" s="89" t="s">
        <v>170</v>
      </c>
      <c r="Y187" s="8"/>
      <c r="Z187" s="8"/>
      <c r="AA187" s="95">
        <v>9.2287999999999997</v>
      </c>
      <c r="AB187" s="8" t="s">
        <v>182</v>
      </c>
      <c r="AC187" s="8"/>
    </row>
    <row r="188" spans="1:29" ht="28.5" hidden="1" customHeight="1" x14ac:dyDescent="0.2">
      <c r="A188" s="13" t="s">
        <v>9</v>
      </c>
      <c r="B188" s="39"/>
      <c r="C188" s="93" t="s">
        <v>36</v>
      </c>
      <c r="D188" s="40" t="s">
        <v>139</v>
      </c>
      <c r="E188" s="41" t="s">
        <v>252</v>
      </c>
      <c r="F188" s="40"/>
      <c r="G188" s="42" t="s">
        <v>128</v>
      </c>
      <c r="H188" s="43">
        <f>0.06*1.15</f>
        <v>6.8999999999999992E-2</v>
      </c>
      <c r="I188" s="44"/>
      <c r="J188" s="45"/>
      <c r="K188" s="46"/>
      <c r="L188" s="17"/>
      <c r="M188" s="47"/>
      <c r="N188" s="18"/>
      <c r="O188" s="47"/>
      <c r="P188" s="17"/>
      <c r="Q188" s="47"/>
      <c r="R188" s="18"/>
      <c r="S188" s="48"/>
      <c r="T188" s="49"/>
      <c r="U188" s="48"/>
      <c r="V188" s="49"/>
      <c r="W188" s="29"/>
      <c r="X188" s="89" t="s">
        <v>170</v>
      </c>
      <c r="Y188" s="8"/>
      <c r="Z188" s="8"/>
      <c r="AA188" s="95">
        <v>0.74099999999999999</v>
      </c>
      <c r="AB188" s="8" t="s">
        <v>182</v>
      </c>
      <c r="AC188" s="8"/>
    </row>
    <row r="189" spans="1:29" ht="28.5" hidden="1" customHeight="1" x14ac:dyDescent="0.2">
      <c r="A189" s="13" t="s">
        <v>9</v>
      </c>
      <c r="B189" s="39"/>
      <c r="C189" s="93" t="s">
        <v>36</v>
      </c>
      <c r="D189" s="40" t="s">
        <v>139</v>
      </c>
      <c r="E189" s="41" t="s">
        <v>253</v>
      </c>
      <c r="F189" s="40"/>
      <c r="G189" s="42" t="s">
        <v>128</v>
      </c>
      <c r="H189" s="43">
        <f>0.04*1.15</f>
        <v>4.5999999999999999E-2</v>
      </c>
      <c r="I189" s="44"/>
      <c r="J189" s="45"/>
      <c r="K189" s="46"/>
      <c r="L189" s="17"/>
      <c r="M189" s="47"/>
      <c r="N189" s="18"/>
      <c r="O189" s="47"/>
      <c r="P189" s="17"/>
      <c r="Q189" s="47"/>
      <c r="R189" s="18"/>
      <c r="S189" s="48"/>
      <c r="T189" s="49"/>
      <c r="U189" s="48"/>
      <c r="V189" s="49"/>
      <c r="W189" s="29"/>
      <c r="X189" s="89" t="s">
        <v>170</v>
      </c>
      <c r="Y189" s="8"/>
      <c r="Z189" s="8"/>
      <c r="AA189" s="95">
        <v>0.48</v>
      </c>
      <c r="AB189" s="8" t="s">
        <v>182</v>
      </c>
      <c r="AC189" s="8"/>
    </row>
    <row r="190" spans="1:29" ht="28.5" hidden="1" customHeight="1" x14ac:dyDescent="0.2">
      <c r="A190" s="13" t="s">
        <v>9</v>
      </c>
      <c r="B190" s="39"/>
      <c r="C190" s="93" t="s">
        <v>36</v>
      </c>
      <c r="D190" s="40" t="s">
        <v>139</v>
      </c>
      <c r="E190" s="41" t="s">
        <v>156</v>
      </c>
      <c r="F190" s="40"/>
      <c r="G190" s="42" t="s">
        <v>128</v>
      </c>
      <c r="H190" s="43">
        <f>0.26*1.15</f>
        <v>0.29899999999999999</v>
      </c>
      <c r="I190" s="44"/>
      <c r="J190" s="45"/>
      <c r="K190" s="46"/>
      <c r="L190" s="17"/>
      <c r="M190" s="47"/>
      <c r="N190" s="18"/>
      <c r="O190" s="47"/>
      <c r="P190" s="17"/>
      <c r="Q190" s="47"/>
      <c r="R190" s="18"/>
      <c r="S190" s="48"/>
      <c r="T190" s="49"/>
      <c r="U190" s="48"/>
      <c r="V190" s="49"/>
      <c r="W190" s="29"/>
      <c r="X190" s="89" t="s">
        <v>170</v>
      </c>
      <c r="Y190" s="8"/>
      <c r="Z190" s="8"/>
      <c r="AA190" s="95">
        <v>3</v>
      </c>
      <c r="AB190" s="8" t="s">
        <v>182</v>
      </c>
      <c r="AC190" s="8"/>
    </row>
    <row r="191" spans="1:29" ht="28.5" hidden="1" customHeight="1" x14ac:dyDescent="0.2">
      <c r="A191" s="13" t="s">
        <v>9</v>
      </c>
      <c r="B191" s="39"/>
      <c r="C191" s="93" t="s">
        <v>36</v>
      </c>
      <c r="D191" s="40" t="s">
        <v>139</v>
      </c>
      <c r="E191" s="41" t="s">
        <v>157</v>
      </c>
      <c r="F191" s="40"/>
      <c r="G191" s="42" t="s">
        <v>128</v>
      </c>
      <c r="H191" s="43">
        <f>1.54*1.15</f>
        <v>1.7709999999999999</v>
      </c>
      <c r="I191" s="44"/>
      <c r="J191" s="45"/>
      <c r="K191" s="46"/>
      <c r="L191" s="17"/>
      <c r="M191" s="47"/>
      <c r="N191" s="18"/>
      <c r="O191" s="47"/>
      <c r="P191" s="17"/>
      <c r="Q191" s="47"/>
      <c r="R191" s="18"/>
      <c r="S191" s="48"/>
      <c r="T191" s="49"/>
      <c r="U191" s="48"/>
      <c r="V191" s="49"/>
      <c r="W191" s="29"/>
      <c r="X191" s="89" t="s">
        <v>170</v>
      </c>
      <c r="Y191" s="8"/>
      <c r="Z191" s="8"/>
      <c r="AA191" s="95">
        <v>10.8</v>
      </c>
      <c r="AB191" s="8" t="s">
        <v>182</v>
      </c>
      <c r="AC191" s="8"/>
    </row>
    <row r="192" spans="1:29" ht="28.5" hidden="1" customHeight="1" x14ac:dyDescent="0.2">
      <c r="A192" s="13" t="s">
        <v>9</v>
      </c>
      <c r="B192" s="39"/>
      <c r="C192" s="93" t="s">
        <v>36</v>
      </c>
      <c r="D192" s="40" t="s">
        <v>139</v>
      </c>
      <c r="E192" s="41" t="s">
        <v>158</v>
      </c>
      <c r="F192" s="40"/>
      <c r="G192" s="42" t="s">
        <v>128</v>
      </c>
      <c r="H192" s="43">
        <f>0.21*1.15</f>
        <v>0.24149999999999996</v>
      </c>
      <c r="I192" s="44"/>
      <c r="J192" s="45"/>
      <c r="K192" s="46"/>
      <c r="L192" s="17"/>
      <c r="M192" s="47"/>
      <c r="N192" s="18"/>
      <c r="O192" s="47"/>
      <c r="P192" s="17"/>
      <c r="Q192" s="47"/>
      <c r="R192" s="18"/>
      <c r="S192" s="48"/>
      <c r="T192" s="49"/>
      <c r="U192" s="48"/>
      <c r="V192" s="49"/>
      <c r="W192" s="29"/>
      <c r="X192" s="89" t="s">
        <v>170</v>
      </c>
      <c r="Y192" s="8"/>
      <c r="Z192" s="8"/>
      <c r="AA192" s="95">
        <v>2.7</v>
      </c>
      <c r="AB192" s="8" t="s">
        <v>182</v>
      </c>
      <c r="AC192" s="8"/>
    </row>
    <row r="193" spans="1:29" ht="28.5" hidden="1" customHeight="1" x14ac:dyDescent="0.2">
      <c r="A193" s="13" t="s">
        <v>9</v>
      </c>
      <c r="B193" s="39"/>
      <c r="C193" s="93" t="s">
        <v>36</v>
      </c>
      <c r="D193" s="40" t="s">
        <v>139</v>
      </c>
      <c r="E193" s="41" t="s">
        <v>159</v>
      </c>
      <c r="F193" s="40"/>
      <c r="G193" s="42" t="s">
        <v>128</v>
      </c>
      <c r="H193" s="43">
        <f>0.84*1.15</f>
        <v>0.96599999999999986</v>
      </c>
      <c r="I193" s="44"/>
      <c r="J193" s="45"/>
      <c r="K193" s="46"/>
      <c r="L193" s="17"/>
      <c r="M193" s="47"/>
      <c r="N193" s="18"/>
      <c r="O193" s="47"/>
      <c r="P193" s="17"/>
      <c r="Q193" s="47"/>
      <c r="R193" s="18"/>
      <c r="S193" s="48"/>
      <c r="T193" s="49"/>
      <c r="U193" s="48"/>
      <c r="V193" s="49"/>
      <c r="W193" s="29"/>
      <c r="X193" s="89" t="s">
        <v>170</v>
      </c>
      <c r="Y193" s="8"/>
      <c r="Z193" s="8"/>
      <c r="AA193" s="95">
        <v>6</v>
      </c>
      <c r="AB193" s="8" t="s">
        <v>182</v>
      </c>
      <c r="AC193" s="8"/>
    </row>
    <row r="194" spans="1:29" ht="28.5" hidden="1" customHeight="1" x14ac:dyDescent="0.2">
      <c r="A194" s="13" t="s">
        <v>9</v>
      </c>
      <c r="B194" s="39"/>
      <c r="C194" s="93" t="s">
        <v>36</v>
      </c>
      <c r="D194" s="40" t="s">
        <v>139</v>
      </c>
      <c r="E194" s="41" t="s">
        <v>163</v>
      </c>
      <c r="F194" s="40"/>
      <c r="G194" s="42" t="s">
        <v>128</v>
      </c>
      <c r="H194" s="43">
        <f>0.67*1.15</f>
        <v>0.77049999999999996</v>
      </c>
      <c r="I194" s="44"/>
      <c r="J194" s="45"/>
      <c r="K194" s="46"/>
      <c r="L194" s="17"/>
      <c r="M194" s="47"/>
      <c r="N194" s="18"/>
      <c r="O194" s="47"/>
      <c r="P194" s="17"/>
      <c r="Q194" s="47"/>
      <c r="R194" s="18"/>
      <c r="S194" s="48"/>
      <c r="T194" s="49"/>
      <c r="U194" s="48"/>
      <c r="V194" s="49"/>
      <c r="W194" s="29"/>
      <c r="X194" s="89" t="s">
        <v>170</v>
      </c>
      <c r="Y194" s="8"/>
      <c r="Z194" s="8"/>
      <c r="AA194" s="95">
        <v>6.75</v>
      </c>
      <c r="AB194" s="8" t="s">
        <v>182</v>
      </c>
      <c r="AC194" s="8"/>
    </row>
    <row r="195" spans="1:29" ht="28.5" hidden="1" customHeight="1" x14ac:dyDescent="0.2">
      <c r="A195" s="13" t="s">
        <v>9</v>
      </c>
      <c r="B195" s="39"/>
      <c r="C195" s="93" t="s">
        <v>36</v>
      </c>
      <c r="D195" s="40" t="s">
        <v>139</v>
      </c>
      <c r="E195" s="41" t="s">
        <v>160</v>
      </c>
      <c r="F195" s="40"/>
      <c r="G195" s="42" t="s">
        <v>128</v>
      </c>
      <c r="H195" s="43">
        <f>3.79*1.15</f>
        <v>4.3584999999999994</v>
      </c>
      <c r="I195" s="44"/>
      <c r="J195" s="45"/>
      <c r="K195" s="46"/>
      <c r="L195" s="17"/>
      <c r="M195" s="47"/>
      <c r="N195" s="18"/>
      <c r="O195" s="47"/>
      <c r="P195" s="17"/>
      <c r="Q195" s="47"/>
      <c r="R195" s="18"/>
      <c r="S195" s="48"/>
      <c r="T195" s="49"/>
      <c r="U195" s="48"/>
      <c r="V195" s="49"/>
      <c r="W195" s="29"/>
      <c r="X195" s="89" t="s">
        <v>170</v>
      </c>
      <c r="Y195" s="8"/>
      <c r="Z195" s="8"/>
      <c r="AA195" s="95">
        <v>38.700000000000003</v>
      </c>
      <c r="AB195" s="8" t="s">
        <v>182</v>
      </c>
      <c r="AC195" s="8"/>
    </row>
    <row r="196" spans="1:29" ht="28.5" hidden="1" customHeight="1" x14ac:dyDescent="0.2">
      <c r="A196" s="13" t="s">
        <v>9</v>
      </c>
      <c r="B196" s="39"/>
      <c r="C196" s="93" t="s">
        <v>36</v>
      </c>
      <c r="D196" s="40" t="s">
        <v>139</v>
      </c>
      <c r="E196" s="41" t="s">
        <v>161</v>
      </c>
      <c r="F196" s="40"/>
      <c r="G196" s="42" t="s">
        <v>128</v>
      </c>
      <c r="H196" s="43">
        <f>4.92*1.15</f>
        <v>5.6579999999999995</v>
      </c>
      <c r="I196" s="44"/>
      <c r="J196" s="45"/>
      <c r="K196" s="46"/>
      <c r="L196" s="17"/>
      <c r="M196" s="47"/>
      <c r="N196" s="18"/>
      <c r="O196" s="47"/>
      <c r="P196" s="17"/>
      <c r="Q196" s="47"/>
      <c r="R196" s="18"/>
      <c r="S196" s="48"/>
      <c r="T196" s="49"/>
      <c r="U196" s="48"/>
      <c r="V196" s="49"/>
      <c r="W196" s="29"/>
      <c r="X196" s="89" t="s">
        <v>170</v>
      </c>
      <c r="Y196" s="8"/>
      <c r="Z196" s="8"/>
      <c r="AA196" s="95">
        <v>99</v>
      </c>
      <c r="AB196" s="8" t="s">
        <v>182</v>
      </c>
      <c r="AC196" s="8"/>
    </row>
    <row r="197" spans="1:29" ht="28.5" hidden="1" customHeight="1" x14ac:dyDescent="0.2">
      <c r="A197" s="13" t="s">
        <v>9</v>
      </c>
      <c r="B197" s="39"/>
      <c r="C197" s="93" t="s">
        <v>36</v>
      </c>
      <c r="D197" s="40" t="s">
        <v>139</v>
      </c>
      <c r="E197" s="41" t="s">
        <v>213</v>
      </c>
      <c r="F197" s="40"/>
      <c r="G197" s="42" t="s">
        <v>128</v>
      </c>
      <c r="H197" s="43">
        <f>0.13*1.15</f>
        <v>0.14949999999999999</v>
      </c>
      <c r="I197" s="44"/>
      <c r="J197" s="45"/>
      <c r="K197" s="46"/>
      <c r="L197" s="17"/>
      <c r="M197" s="47"/>
      <c r="N197" s="18"/>
      <c r="O197" s="47"/>
      <c r="P197" s="17"/>
      <c r="Q197" s="47"/>
      <c r="R197" s="18"/>
      <c r="S197" s="48"/>
      <c r="T197" s="49"/>
      <c r="U197" s="48"/>
      <c r="V197" s="49"/>
      <c r="W197" s="29"/>
      <c r="X197" s="89" t="s">
        <v>170</v>
      </c>
      <c r="Y197" s="8"/>
      <c r="Z197" s="8"/>
      <c r="AA197" s="95">
        <v>5.4</v>
      </c>
      <c r="AB197" s="8" t="s">
        <v>182</v>
      </c>
      <c r="AC197" s="8"/>
    </row>
    <row r="198" spans="1:29" ht="28.5" hidden="1" customHeight="1" x14ac:dyDescent="0.2">
      <c r="A198" s="13" t="s">
        <v>9</v>
      </c>
      <c r="B198" s="39"/>
      <c r="C198" s="93" t="s">
        <v>36</v>
      </c>
      <c r="D198" s="40" t="s">
        <v>139</v>
      </c>
      <c r="E198" s="41" t="s">
        <v>214</v>
      </c>
      <c r="F198" s="40"/>
      <c r="G198" s="42" t="s">
        <v>128</v>
      </c>
      <c r="H198" s="43">
        <f>1.4*1.15</f>
        <v>1.6099999999999999</v>
      </c>
      <c r="I198" s="44"/>
      <c r="J198" s="45"/>
      <c r="K198" s="46"/>
      <c r="L198" s="17"/>
      <c r="M198" s="47"/>
      <c r="N198" s="18"/>
      <c r="O198" s="47"/>
      <c r="P198" s="17"/>
      <c r="Q198" s="47"/>
      <c r="R198" s="18"/>
      <c r="S198" s="48"/>
      <c r="T198" s="49"/>
      <c r="U198" s="48"/>
      <c r="V198" s="49"/>
      <c r="W198" s="29"/>
      <c r="X198" s="89" t="s">
        <v>170</v>
      </c>
      <c r="Y198" s="8"/>
      <c r="Z198" s="8"/>
      <c r="AA198" s="95">
        <v>19.2</v>
      </c>
      <c r="AB198" s="8" t="s">
        <v>182</v>
      </c>
      <c r="AC198" s="8"/>
    </row>
    <row r="199" spans="1:29" ht="28.5" hidden="1" customHeight="1" x14ac:dyDescent="0.2">
      <c r="A199" s="13" t="s">
        <v>9</v>
      </c>
      <c r="B199" s="39"/>
      <c r="C199" s="93" t="s">
        <v>36</v>
      </c>
      <c r="D199" s="40" t="s">
        <v>139</v>
      </c>
      <c r="E199" s="41" t="s">
        <v>165</v>
      </c>
      <c r="F199" s="40"/>
      <c r="G199" s="42" t="s">
        <v>128</v>
      </c>
      <c r="H199" s="43">
        <f>0.22*1.15</f>
        <v>0.253</v>
      </c>
      <c r="I199" s="44"/>
      <c r="J199" s="45"/>
      <c r="K199" s="46"/>
      <c r="L199" s="17"/>
      <c r="M199" s="47"/>
      <c r="N199" s="18"/>
      <c r="O199" s="47"/>
      <c r="P199" s="17"/>
      <c r="Q199" s="47"/>
      <c r="R199" s="18"/>
      <c r="S199" s="48"/>
      <c r="T199" s="49"/>
      <c r="U199" s="48"/>
      <c r="V199" s="49"/>
      <c r="W199" s="29"/>
      <c r="X199" s="89" t="s">
        <v>170</v>
      </c>
      <c r="Y199" s="8"/>
      <c r="Z199" s="8"/>
      <c r="AA199" s="95">
        <v>4.4000000000000004</v>
      </c>
      <c r="AB199" s="8" t="s">
        <v>182</v>
      </c>
      <c r="AC199" s="8"/>
    </row>
    <row r="200" spans="1:29" ht="28.5" hidden="1" customHeight="1" x14ac:dyDescent="0.2">
      <c r="A200" s="13" t="s">
        <v>9</v>
      </c>
      <c r="B200" s="39"/>
      <c r="C200" s="93" t="s">
        <v>36</v>
      </c>
      <c r="D200" s="40" t="s">
        <v>139</v>
      </c>
      <c r="E200" s="41" t="s">
        <v>162</v>
      </c>
      <c r="F200" s="40"/>
      <c r="G200" s="42" t="s">
        <v>128</v>
      </c>
      <c r="H200" s="43">
        <f>0.53*1.15</f>
        <v>0.60949999999999993</v>
      </c>
      <c r="I200" s="44"/>
      <c r="J200" s="45"/>
      <c r="K200" s="46"/>
      <c r="L200" s="17"/>
      <c r="M200" s="47"/>
      <c r="N200" s="18"/>
      <c r="O200" s="47"/>
      <c r="P200" s="17"/>
      <c r="Q200" s="47"/>
      <c r="R200" s="18"/>
      <c r="S200" s="48"/>
      <c r="T200" s="49"/>
      <c r="U200" s="48"/>
      <c r="V200" s="49"/>
      <c r="W200" s="29"/>
      <c r="X200" s="89" t="s">
        <v>170</v>
      </c>
      <c r="Y200" s="8"/>
      <c r="Z200" s="8"/>
      <c r="AA200" s="95">
        <v>13.44</v>
      </c>
      <c r="AB200" s="8" t="s">
        <v>182</v>
      </c>
      <c r="AC200" s="8"/>
    </row>
    <row r="201" spans="1:29" ht="28.5" hidden="1" customHeight="1" x14ac:dyDescent="0.2">
      <c r="A201" s="13" t="s">
        <v>9</v>
      </c>
      <c r="B201" s="39"/>
      <c r="C201" s="93" t="s">
        <v>36</v>
      </c>
      <c r="D201" s="40" t="s">
        <v>139</v>
      </c>
      <c r="E201" s="41" t="s">
        <v>215</v>
      </c>
      <c r="F201" s="40"/>
      <c r="G201" s="42" t="s">
        <v>128</v>
      </c>
      <c r="H201" s="43">
        <f>7.32*1.15</f>
        <v>8.4179999999999993</v>
      </c>
      <c r="I201" s="44"/>
      <c r="J201" s="45"/>
      <c r="K201" s="46"/>
      <c r="L201" s="17"/>
      <c r="M201" s="47"/>
      <c r="N201" s="18"/>
      <c r="O201" s="47"/>
      <c r="P201" s="17"/>
      <c r="Q201" s="47"/>
      <c r="R201" s="18"/>
      <c r="S201" s="48"/>
      <c r="T201" s="49"/>
      <c r="U201" s="48"/>
      <c r="V201" s="49"/>
      <c r="W201" s="29"/>
      <c r="X201" s="89" t="s">
        <v>170</v>
      </c>
      <c r="Y201" s="8"/>
      <c r="Z201" s="8"/>
      <c r="AA201" s="95">
        <v>183</v>
      </c>
      <c r="AB201" s="8" t="s">
        <v>182</v>
      </c>
      <c r="AC201" s="8"/>
    </row>
    <row r="202" spans="1:29" ht="28.5" hidden="1" customHeight="1" x14ac:dyDescent="0.2">
      <c r="A202" s="13" t="s">
        <v>9</v>
      </c>
      <c r="B202" s="39"/>
      <c r="C202" s="93" t="s">
        <v>36</v>
      </c>
      <c r="D202" s="40" t="s">
        <v>139</v>
      </c>
      <c r="E202" s="41" t="s">
        <v>216</v>
      </c>
      <c r="F202" s="40"/>
      <c r="G202" s="42" t="s">
        <v>128</v>
      </c>
      <c r="H202" s="43">
        <f>0.26*1.15</f>
        <v>0.29899999999999999</v>
      </c>
      <c r="I202" s="44"/>
      <c r="J202" s="45"/>
      <c r="K202" s="46"/>
      <c r="L202" s="17"/>
      <c r="M202" s="47"/>
      <c r="N202" s="18"/>
      <c r="O202" s="47"/>
      <c r="P202" s="17"/>
      <c r="Q202" s="47"/>
      <c r="R202" s="18"/>
      <c r="S202" s="48"/>
      <c r="T202" s="49"/>
      <c r="U202" s="48"/>
      <c r="V202" s="49"/>
      <c r="W202" s="29"/>
      <c r="X202" s="89" t="s">
        <v>170</v>
      </c>
      <c r="Y202" s="8"/>
      <c r="Z202" s="8"/>
      <c r="AA202" s="95">
        <v>10.8</v>
      </c>
      <c r="AB202" s="8" t="s">
        <v>182</v>
      </c>
      <c r="AC202" s="8"/>
    </row>
    <row r="203" spans="1:29" ht="28.5" hidden="1" customHeight="1" x14ac:dyDescent="0.2">
      <c r="A203" s="13" t="s">
        <v>9</v>
      </c>
      <c r="B203" s="39"/>
      <c r="C203" s="93" t="s">
        <v>36</v>
      </c>
      <c r="D203" s="40" t="s">
        <v>139</v>
      </c>
      <c r="E203" s="41" t="s">
        <v>169</v>
      </c>
      <c r="F203" s="40"/>
      <c r="G203" s="42" t="s">
        <v>128</v>
      </c>
      <c r="H203" s="43">
        <f>0.1*1.15</f>
        <v>0.11499999999999999</v>
      </c>
      <c r="I203" s="44"/>
      <c r="J203" s="45"/>
      <c r="K203" s="46"/>
      <c r="L203" s="17"/>
      <c r="M203" s="47"/>
      <c r="N203" s="18"/>
      <c r="O203" s="47"/>
      <c r="P203" s="17"/>
      <c r="Q203" s="47"/>
      <c r="R203" s="18"/>
      <c r="S203" s="48"/>
      <c r="T203" s="49"/>
      <c r="U203" s="48"/>
      <c r="V203" s="49"/>
      <c r="W203" s="29"/>
      <c r="X203" s="89" t="s">
        <v>170</v>
      </c>
      <c r="Y203" s="8"/>
      <c r="Z203" s="8"/>
      <c r="AA203" s="95">
        <v>2.4</v>
      </c>
      <c r="AB203" s="8" t="s">
        <v>182</v>
      </c>
      <c r="AC203" s="8"/>
    </row>
    <row r="204" spans="1:29" ht="28.5" hidden="1" customHeight="1" x14ac:dyDescent="0.2">
      <c r="A204" s="13" t="s">
        <v>9</v>
      </c>
      <c r="B204" s="39"/>
      <c r="C204" s="93" t="s">
        <v>36</v>
      </c>
      <c r="D204" s="40" t="s">
        <v>139</v>
      </c>
      <c r="E204" s="41" t="s">
        <v>168</v>
      </c>
      <c r="F204" s="40"/>
      <c r="G204" s="42" t="s">
        <v>128</v>
      </c>
      <c r="H204" s="43">
        <f>0.08*1.15</f>
        <v>9.1999999999999998E-2</v>
      </c>
      <c r="I204" s="44"/>
      <c r="J204" s="45"/>
      <c r="K204" s="46"/>
      <c r="L204" s="17"/>
      <c r="M204" s="47"/>
      <c r="N204" s="18"/>
      <c r="O204" s="47"/>
      <c r="P204" s="17"/>
      <c r="Q204" s="47"/>
      <c r="R204" s="18"/>
      <c r="S204" s="48"/>
      <c r="T204" s="49"/>
      <c r="U204" s="48"/>
      <c r="V204" s="49"/>
      <c r="W204" s="29"/>
      <c r="X204" s="89" t="s">
        <v>170</v>
      </c>
      <c r="Y204" s="8"/>
      <c r="Z204" s="8"/>
      <c r="AA204" s="95">
        <v>1.2</v>
      </c>
      <c r="AB204" s="8" t="s">
        <v>182</v>
      </c>
      <c r="AC204" s="8"/>
    </row>
    <row r="205" spans="1:29" ht="28.5" hidden="1" customHeight="1" x14ac:dyDescent="0.2">
      <c r="A205" s="13" t="s">
        <v>9</v>
      </c>
      <c r="B205" s="39"/>
      <c r="C205" s="93" t="s">
        <v>36</v>
      </c>
      <c r="D205" s="40" t="s">
        <v>139</v>
      </c>
      <c r="E205" s="41" t="s">
        <v>167</v>
      </c>
      <c r="F205" s="40"/>
      <c r="G205" s="42" t="s">
        <v>128</v>
      </c>
      <c r="H205" s="43">
        <f>0.05*1.15</f>
        <v>5.7499999999999996E-2</v>
      </c>
      <c r="I205" s="44"/>
      <c r="J205" s="45"/>
      <c r="K205" s="46"/>
      <c r="L205" s="17"/>
      <c r="M205" s="47"/>
      <c r="N205" s="18"/>
      <c r="O205" s="47"/>
      <c r="P205" s="17"/>
      <c r="Q205" s="47"/>
      <c r="R205" s="18"/>
      <c r="S205" s="48"/>
      <c r="T205" s="49"/>
      <c r="U205" s="48"/>
      <c r="V205" s="49"/>
      <c r="W205" s="29"/>
      <c r="X205" s="89" t="s">
        <v>170</v>
      </c>
      <c r="Y205" s="8"/>
      <c r="Z205" s="8"/>
      <c r="AA205" s="95">
        <v>0.6</v>
      </c>
      <c r="AB205" s="8" t="s">
        <v>182</v>
      </c>
      <c r="AC205" s="8"/>
    </row>
    <row r="206" spans="1:29" ht="28.5" hidden="1" customHeight="1" x14ac:dyDescent="0.2">
      <c r="A206" s="13" t="s">
        <v>9</v>
      </c>
      <c r="B206" s="39"/>
      <c r="C206" s="93" t="s">
        <v>36</v>
      </c>
      <c r="D206" s="40" t="s">
        <v>139</v>
      </c>
      <c r="E206" s="41" t="s">
        <v>166</v>
      </c>
      <c r="F206" s="40"/>
      <c r="G206" s="42" t="s">
        <v>128</v>
      </c>
      <c r="H206" s="43">
        <f>0.03*1.15</f>
        <v>3.4499999999999996E-2</v>
      </c>
      <c r="I206" s="44"/>
      <c r="J206" s="45"/>
      <c r="K206" s="46"/>
      <c r="L206" s="17"/>
      <c r="M206" s="47"/>
      <c r="N206" s="18"/>
      <c r="O206" s="47"/>
      <c r="P206" s="17"/>
      <c r="Q206" s="47"/>
      <c r="R206" s="18"/>
      <c r="S206" s="48"/>
      <c r="T206" s="49"/>
      <c r="U206" s="48"/>
      <c r="V206" s="49"/>
      <c r="W206" s="29"/>
      <c r="X206" s="89" t="s">
        <v>170</v>
      </c>
      <c r="Y206" s="8"/>
      <c r="Z206" s="8"/>
      <c r="AA206" s="95">
        <v>0.96</v>
      </c>
      <c r="AB206" s="8" t="s">
        <v>182</v>
      </c>
      <c r="AC206" s="8"/>
    </row>
    <row r="207" spans="1:29" ht="28.5" hidden="1" customHeight="1" x14ac:dyDescent="0.2">
      <c r="A207" s="13" t="s">
        <v>9</v>
      </c>
      <c r="B207" s="39"/>
      <c r="C207" s="93" t="s">
        <v>36</v>
      </c>
      <c r="D207" s="40" t="s">
        <v>139</v>
      </c>
      <c r="E207" s="41" t="s">
        <v>217</v>
      </c>
      <c r="F207" s="40"/>
      <c r="G207" s="42" t="s">
        <v>128</v>
      </c>
      <c r="H207" s="43">
        <f>0.24*1.15</f>
        <v>0.27599999999999997</v>
      </c>
      <c r="I207" s="44"/>
      <c r="J207" s="45"/>
      <c r="K207" s="46"/>
      <c r="L207" s="17"/>
      <c r="M207" s="47"/>
      <c r="N207" s="18"/>
      <c r="O207" s="47"/>
      <c r="P207" s="17"/>
      <c r="Q207" s="47"/>
      <c r="R207" s="18"/>
      <c r="S207" s="48"/>
      <c r="T207" s="49"/>
      <c r="U207" s="48"/>
      <c r="V207" s="49"/>
      <c r="W207" s="29"/>
      <c r="X207" s="89" t="s">
        <v>170</v>
      </c>
      <c r="Y207" s="8"/>
      <c r="Z207" s="8"/>
      <c r="AA207" s="95">
        <v>6</v>
      </c>
      <c r="AB207" s="8" t="s">
        <v>182</v>
      </c>
      <c r="AC207" s="8"/>
    </row>
    <row r="208" spans="1:29" s="69" customFormat="1" ht="28.5" customHeight="1" x14ac:dyDescent="0.2">
      <c r="A208" s="66" t="s">
        <v>8</v>
      </c>
      <c r="B208" s="33" t="s">
        <v>201</v>
      </c>
      <c r="C208" s="23" t="s">
        <v>36</v>
      </c>
      <c r="D208" s="23" t="s">
        <v>139</v>
      </c>
      <c r="E208" s="24" t="s">
        <v>140</v>
      </c>
      <c r="F208" s="36"/>
      <c r="G208" s="37" t="s">
        <v>119</v>
      </c>
      <c r="H208" s="38">
        <v>20</v>
      </c>
      <c r="I208" s="25"/>
      <c r="J208" s="34"/>
      <c r="K208" s="32"/>
      <c r="L208" s="26"/>
      <c r="M208" s="67"/>
      <c r="N208" s="28"/>
      <c r="O208" s="67"/>
      <c r="P208" s="26"/>
      <c r="Q208" s="67"/>
      <c r="R208" s="28"/>
      <c r="S208" s="27"/>
      <c r="T208" s="28"/>
      <c r="U208" s="27"/>
      <c r="V208" s="28"/>
      <c r="W208" s="68"/>
      <c r="X208" s="88"/>
      <c r="Y208" s="88"/>
      <c r="Z208" s="88"/>
      <c r="AA208" s="88"/>
      <c r="AB208" s="88"/>
      <c r="AC208" s="88"/>
    </row>
    <row r="209" spans="1:29" ht="28.5" hidden="1" customHeight="1" x14ac:dyDescent="0.2">
      <c r="A209" s="13" t="s">
        <v>9</v>
      </c>
      <c r="B209" s="39"/>
      <c r="C209" s="93" t="s">
        <v>36</v>
      </c>
      <c r="D209" s="40" t="s">
        <v>139</v>
      </c>
      <c r="E209" s="41" t="s">
        <v>118</v>
      </c>
      <c r="F209" s="40"/>
      <c r="G209" s="42" t="s">
        <v>105</v>
      </c>
      <c r="H209" s="43">
        <f>H208*0.08*1.13</f>
        <v>1.8079999999999998</v>
      </c>
      <c r="I209" s="44"/>
      <c r="J209" s="45"/>
      <c r="K209" s="46"/>
      <c r="L209" s="17"/>
      <c r="M209" s="47"/>
      <c r="N209" s="18"/>
      <c r="O209" s="47"/>
      <c r="P209" s="17"/>
      <c r="Q209" s="47"/>
      <c r="R209" s="18"/>
      <c r="S209" s="48"/>
      <c r="T209" s="49"/>
      <c r="U209" s="48"/>
      <c r="V209" s="49"/>
      <c r="W209" s="29"/>
      <c r="X209" s="89" t="s">
        <v>122</v>
      </c>
      <c r="Y209" s="8"/>
      <c r="Z209" s="8"/>
      <c r="AA209" s="8"/>
      <c r="AB209" s="8"/>
      <c r="AC209" s="8"/>
    </row>
    <row r="210" spans="1:29" ht="28.5" hidden="1" customHeight="1" x14ac:dyDescent="0.2">
      <c r="A210" s="13" t="s">
        <v>9</v>
      </c>
      <c r="B210" s="39"/>
      <c r="C210" s="93" t="s">
        <v>36</v>
      </c>
      <c r="D210" s="40" t="s">
        <v>139</v>
      </c>
      <c r="E210" s="41" t="s">
        <v>121</v>
      </c>
      <c r="F210" s="40"/>
      <c r="G210" s="42" t="s">
        <v>105</v>
      </c>
      <c r="H210" s="43">
        <f>H208*0.14*2*1.13</f>
        <v>6.3280000000000003</v>
      </c>
      <c r="I210" s="44"/>
      <c r="J210" s="45"/>
      <c r="K210" s="46"/>
      <c r="L210" s="17"/>
      <c r="M210" s="47"/>
      <c r="N210" s="18"/>
      <c r="O210" s="47"/>
      <c r="P210" s="17"/>
      <c r="Q210" s="47"/>
      <c r="R210" s="18"/>
      <c r="S210" s="48"/>
      <c r="T210" s="49"/>
      <c r="U210" s="48"/>
      <c r="V210" s="49"/>
      <c r="W210" s="29"/>
      <c r="X210" s="89" t="s">
        <v>123</v>
      </c>
      <c r="Y210" s="8"/>
      <c r="Z210" s="8"/>
      <c r="AA210" s="8"/>
      <c r="AB210" s="8"/>
      <c r="AC210" s="8"/>
    </row>
    <row r="211" spans="1:29" s="69" customFormat="1" ht="28.5" customHeight="1" x14ac:dyDescent="0.2">
      <c r="A211" s="66" t="s">
        <v>8</v>
      </c>
      <c r="B211" s="33" t="s">
        <v>202</v>
      </c>
      <c r="C211" s="23" t="s">
        <v>36</v>
      </c>
      <c r="D211" s="23" t="s">
        <v>139</v>
      </c>
      <c r="E211" s="24" t="s">
        <v>360</v>
      </c>
      <c r="F211" s="36"/>
      <c r="G211" s="37" t="s">
        <v>119</v>
      </c>
      <c r="H211" s="38">
        <f>AA177</f>
        <v>622.33510000000001</v>
      </c>
      <c r="I211" s="25"/>
      <c r="J211" s="34"/>
      <c r="K211" s="32"/>
      <c r="L211" s="26"/>
      <c r="M211" s="67"/>
      <c r="N211" s="28"/>
      <c r="O211" s="67"/>
      <c r="P211" s="26"/>
      <c r="Q211" s="67"/>
      <c r="R211" s="28"/>
      <c r="S211" s="27"/>
      <c r="T211" s="28"/>
      <c r="U211" s="27"/>
      <c r="V211" s="28"/>
      <c r="W211" s="68"/>
      <c r="X211" s="88"/>
      <c r="Y211" s="88"/>
      <c r="Z211" s="88"/>
      <c r="AA211" s="88"/>
      <c r="AB211" s="88"/>
      <c r="AC211" s="88"/>
    </row>
    <row r="212" spans="1:29" ht="28.5" hidden="1" customHeight="1" x14ac:dyDescent="0.2">
      <c r="A212" s="13" t="s">
        <v>9</v>
      </c>
      <c r="B212" s="39"/>
      <c r="C212" s="93" t="s">
        <v>36</v>
      </c>
      <c r="D212" s="40" t="s">
        <v>139</v>
      </c>
      <c r="E212" s="41" t="s">
        <v>181</v>
      </c>
      <c r="F212" s="40"/>
      <c r="G212" s="42" t="s">
        <v>184</v>
      </c>
      <c r="H212" s="43">
        <f>H211*0.3</f>
        <v>186.70052999999999</v>
      </c>
      <c r="I212" s="44"/>
      <c r="J212" s="45"/>
      <c r="K212" s="46"/>
      <c r="L212" s="17"/>
      <c r="M212" s="47"/>
      <c r="N212" s="18"/>
      <c r="O212" s="47"/>
      <c r="P212" s="17"/>
      <c r="Q212" s="47"/>
      <c r="R212" s="18"/>
      <c r="S212" s="48"/>
      <c r="T212" s="49"/>
      <c r="U212" s="48"/>
      <c r="V212" s="49"/>
      <c r="W212" s="29"/>
      <c r="X212" s="89" t="s">
        <v>183</v>
      </c>
      <c r="Y212" s="8"/>
      <c r="Z212" s="8"/>
      <c r="AA212" s="8"/>
      <c r="AB212" s="8"/>
      <c r="AC212" s="8"/>
    </row>
    <row r="213" spans="1:29" s="69" customFormat="1" ht="28.5" customHeight="1" x14ac:dyDescent="0.2">
      <c r="A213" s="66" t="s">
        <v>8</v>
      </c>
      <c r="B213" s="33" t="s">
        <v>203</v>
      </c>
      <c r="C213" s="23" t="s">
        <v>36</v>
      </c>
      <c r="D213" s="23" t="s">
        <v>139</v>
      </c>
      <c r="E213" s="24" t="s">
        <v>186</v>
      </c>
      <c r="F213" s="36"/>
      <c r="G213" s="37" t="s">
        <v>119</v>
      </c>
      <c r="H213" s="38">
        <f>H211*3/100</f>
        <v>18.670052999999999</v>
      </c>
      <c r="I213" s="25"/>
      <c r="J213" s="34"/>
      <c r="K213" s="32"/>
      <c r="L213" s="26"/>
      <c r="M213" s="67"/>
      <c r="N213" s="28"/>
      <c r="O213" s="67"/>
      <c r="P213" s="26"/>
      <c r="Q213" s="67"/>
      <c r="R213" s="28"/>
      <c r="S213" s="27"/>
      <c r="T213" s="28"/>
      <c r="U213" s="27"/>
      <c r="V213" s="28"/>
      <c r="W213" s="68"/>
      <c r="X213" s="68" t="s">
        <v>188</v>
      </c>
      <c r="Y213" s="88"/>
      <c r="Z213" s="88"/>
      <c r="AA213" s="88"/>
      <c r="AB213" s="88"/>
      <c r="AC213" s="88"/>
    </row>
    <row r="214" spans="1:29" ht="28.5" hidden="1" customHeight="1" x14ac:dyDescent="0.2">
      <c r="A214" s="13" t="s">
        <v>9</v>
      </c>
      <c r="B214" s="39"/>
      <c r="C214" s="93" t="s">
        <v>36</v>
      </c>
      <c r="D214" s="40" t="s">
        <v>139</v>
      </c>
      <c r="E214" s="41" t="s">
        <v>171</v>
      </c>
      <c r="F214" s="40"/>
      <c r="G214" s="42" t="s">
        <v>119</v>
      </c>
      <c r="H214" s="43">
        <f>H213*1.12</f>
        <v>20.910459360000001</v>
      </c>
      <c r="I214" s="44"/>
      <c r="J214" s="45"/>
      <c r="K214" s="46"/>
      <c r="L214" s="17"/>
      <c r="M214" s="47"/>
      <c r="N214" s="18"/>
      <c r="O214" s="47"/>
      <c r="P214" s="17"/>
      <c r="Q214" s="47"/>
      <c r="R214" s="18"/>
      <c r="S214" s="48"/>
      <c r="T214" s="49"/>
      <c r="U214" s="48"/>
      <c r="V214" s="49"/>
      <c r="W214" s="29"/>
      <c r="X214" s="89" t="s">
        <v>187</v>
      </c>
      <c r="Y214" s="8"/>
      <c r="Z214" s="8"/>
      <c r="AA214" s="8"/>
      <c r="AB214" s="8"/>
      <c r="AC214" s="8"/>
    </row>
    <row r="215" spans="1:29" s="85" customFormat="1" ht="28.5" customHeight="1" x14ac:dyDescent="0.2">
      <c r="A215" s="70" t="s">
        <v>14</v>
      </c>
      <c r="B215" s="71">
        <v>8</v>
      </c>
      <c r="C215" s="72" t="s">
        <v>36</v>
      </c>
      <c r="D215" s="75" t="s">
        <v>139</v>
      </c>
      <c r="E215" s="74" t="s">
        <v>233</v>
      </c>
      <c r="F215" s="75"/>
      <c r="G215" s="73"/>
      <c r="H215" s="76"/>
      <c r="I215" s="77"/>
      <c r="J215" s="76"/>
      <c r="K215" s="78"/>
      <c r="L215" s="79"/>
      <c r="M215" s="80"/>
      <c r="N215" s="81"/>
      <c r="O215" s="82"/>
      <c r="P215" s="79"/>
      <c r="Q215" s="80"/>
      <c r="R215" s="81"/>
      <c r="S215" s="80"/>
      <c r="T215" s="83"/>
      <c r="U215" s="84"/>
      <c r="V215" s="83"/>
    </row>
    <row r="216" spans="1:29" s="69" customFormat="1" ht="38.25" customHeight="1" x14ac:dyDescent="0.2">
      <c r="A216" s="66" t="s">
        <v>8</v>
      </c>
      <c r="B216" s="33" t="s">
        <v>234</v>
      </c>
      <c r="C216" s="23" t="s">
        <v>36</v>
      </c>
      <c r="D216" s="23" t="s">
        <v>139</v>
      </c>
      <c r="E216" s="24" t="s">
        <v>359</v>
      </c>
      <c r="F216" s="36"/>
      <c r="G216" s="37" t="s">
        <v>128</v>
      </c>
      <c r="H216" s="38">
        <f>SUM(H217:H244)/1.15</f>
        <v>41.92</v>
      </c>
      <c r="I216" s="25"/>
      <c r="J216" s="34"/>
      <c r="K216" s="32"/>
      <c r="L216" s="26"/>
      <c r="M216" s="67"/>
      <c r="N216" s="28"/>
      <c r="O216" s="67"/>
      <c r="P216" s="26"/>
      <c r="Q216" s="67"/>
      <c r="R216" s="28"/>
      <c r="S216" s="27"/>
      <c r="T216" s="28"/>
      <c r="U216" s="27"/>
      <c r="V216" s="28"/>
      <c r="W216" s="68"/>
      <c r="X216" s="114" t="s">
        <v>511</v>
      </c>
      <c r="Y216" s="114"/>
      <c r="Z216" s="114"/>
      <c r="AA216" s="96">
        <f>SUM(AA217:AA244)</f>
        <v>624.78879999999992</v>
      </c>
      <c r="AB216" s="88" t="s">
        <v>182</v>
      </c>
      <c r="AC216" s="88"/>
    </row>
    <row r="217" spans="1:29" ht="28.5" hidden="1" customHeight="1" x14ac:dyDescent="0.2">
      <c r="A217" s="13" t="s">
        <v>9</v>
      </c>
      <c r="B217" s="39"/>
      <c r="C217" s="93" t="s">
        <v>36</v>
      </c>
      <c r="D217" s="40" t="s">
        <v>139</v>
      </c>
      <c r="E217" s="41" t="s">
        <v>209</v>
      </c>
      <c r="F217" s="40"/>
      <c r="G217" s="42" t="s">
        <v>128</v>
      </c>
      <c r="H217" s="43">
        <f>7.21*1.15</f>
        <v>8.2914999999999992</v>
      </c>
      <c r="I217" s="44"/>
      <c r="J217" s="45"/>
      <c r="K217" s="46"/>
      <c r="L217" s="17"/>
      <c r="M217" s="47"/>
      <c r="N217" s="18"/>
      <c r="O217" s="47"/>
      <c r="P217" s="17"/>
      <c r="Q217" s="47"/>
      <c r="R217" s="18"/>
      <c r="S217" s="48"/>
      <c r="T217" s="49"/>
      <c r="U217" s="48"/>
      <c r="V217" s="49"/>
      <c r="W217" s="29"/>
      <c r="X217" s="89" t="s">
        <v>170</v>
      </c>
      <c r="Y217" s="8"/>
      <c r="Z217" s="8"/>
      <c r="AA217" s="95">
        <v>73.2</v>
      </c>
      <c r="AB217" s="8" t="s">
        <v>182</v>
      </c>
      <c r="AC217" s="8"/>
    </row>
    <row r="218" spans="1:29" ht="28.5" hidden="1" customHeight="1" x14ac:dyDescent="0.2">
      <c r="A218" s="13" t="s">
        <v>9</v>
      </c>
      <c r="B218" s="39"/>
      <c r="C218" s="93" t="s">
        <v>36</v>
      </c>
      <c r="D218" s="40" t="s">
        <v>139</v>
      </c>
      <c r="E218" s="41" t="s">
        <v>142</v>
      </c>
      <c r="F218" s="40"/>
      <c r="G218" s="42" t="s">
        <v>128</v>
      </c>
      <c r="H218" s="43">
        <f>4.58*1.15</f>
        <v>5.2669999999999995</v>
      </c>
      <c r="I218" s="44"/>
      <c r="J218" s="45"/>
      <c r="K218" s="46"/>
      <c r="L218" s="17"/>
      <c r="M218" s="47"/>
      <c r="N218" s="18"/>
      <c r="O218" s="47"/>
      <c r="P218" s="17"/>
      <c r="Q218" s="47"/>
      <c r="R218" s="18"/>
      <c r="S218" s="48"/>
      <c r="T218" s="49"/>
      <c r="U218" s="48"/>
      <c r="V218" s="49"/>
      <c r="W218" s="29"/>
      <c r="X218" s="89" t="s">
        <v>170</v>
      </c>
      <c r="Y218" s="8"/>
      <c r="Z218" s="8"/>
      <c r="AA218" s="95">
        <v>46.8</v>
      </c>
      <c r="AB218" s="8" t="s">
        <v>182</v>
      </c>
      <c r="AC218" s="8"/>
    </row>
    <row r="219" spans="1:29" ht="28.5" hidden="1" customHeight="1" x14ac:dyDescent="0.2">
      <c r="A219" s="13" t="s">
        <v>9</v>
      </c>
      <c r="B219" s="39"/>
      <c r="C219" s="93" t="s">
        <v>36</v>
      </c>
      <c r="D219" s="40" t="s">
        <v>139</v>
      </c>
      <c r="E219" s="41" t="s">
        <v>254</v>
      </c>
      <c r="F219" s="40"/>
      <c r="G219" s="42" t="s">
        <v>128</v>
      </c>
      <c r="H219" s="43">
        <f>0.62*1.15</f>
        <v>0.71299999999999997</v>
      </c>
      <c r="I219" s="44"/>
      <c r="J219" s="45"/>
      <c r="K219" s="46"/>
      <c r="L219" s="17"/>
      <c r="M219" s="47"/>
      <c r="N219" s="18"/>
      <c r="O219" s="47"/>
      <c r="P219" s="17"/>
      <c r="Q219" s="47"/>
      <c r="R219" s="18"/>
      <c r="S219" s="48"/>
      <c r="T219" s="49"/>
      <c r="U219" s="48"/>
      <c r="V219" s="49"/>
      <c r="W219" s="29"/>
      <c r="X219" s="89" t="s">
        <v>170</v>
      </c>
      <c r="Y219" s="8"/>
      <c r="Z219" s="8"/>
      <c r="AA219" s="95">
        <v>6.2</v>
      </c>
      <c r="AB219" s="8" t="s">
        <v>182</v>
      </c>
      <c r="AC219" s="8"/>
    </row>
    <row r="220" spans="1:29" ht="28.5" hidden="1" customHeight="1" x14ac:dyDescent="0.2">
      <c r="A220" s="13" t="s">
        <v>9</v>
      </c>
      <c r="B220" s="39"/>
      <c r="C220" s="93" t="s">
        <v>36</v>
      </c>
      <c r="D220" s="40" t="s">
        <v>139</v>
      </c>
      <c r="E220" s="41" t="s">
        <v>149</v>
      </c>
      <c r="F220" s="40"/>
      <c r="G220" s="42" t="s">
        <v>128</v>
      </c>
      <c r="H220" s="43">
        <f>1.32*1.15</f>
        <v>1.518</v>
      </c>
      <c r="I220" s="44"/>
      <c r="J220" s="45"/>
      <c r="K220" s="46"/>
      <c r="L220" s="17"/>
      <c r="M220" s="47"/>
      <c r="N220" s="18"/>
      <c r="O220" s="47"/>
      <c r="P220" s="17"/>
      <c r="Q220" s="47"/>
      <c r="R220" s="18"/>
      <c r="S220" s="48"/>
      <c r="T220" s="49"/>
      <c r="U220" s="48"/>
      <c r="V220" s="49"/>
      <c r="W220" s="29"/>
      <c r="X220" s="89" t="s">
        <v>170</v>
      </c>
      <c r="Y220" s="8"/>
      <c r="Z220" s="8"/>
      <c r="AA220" s="95">
        <v>13.5</v>
      </c>
      <c r="AB220" s="8" t="s">
        <v>182</v>
      </c>
      <c r="AC220" s="8"/>
    </row>
    <row r="221" spans="1:29" ht="28.5" hidden="1" customHeight="1" x14ac:dyDescent="0.2">
      <c r="A221" s="13" t="s">
        <v>9</v>
      </c>
      <c r="B221" s="39"/>
      <c r="C221" s="93" t="s">
        <v>36</v>
      </c>
      <c r="D221" s="40" t="s">
        <v>139</v>
      </c>
      <c r="E221" s="41" t="s">
        <v>211</v>
      </c>
      <c r="F221" s="40"/>
      <c r="G221" s="42" t="s">
        <v>128</v>
      </c>
      <c r="H221" s="43">
        <f>0.65*1.15</f>
        <v>0.74749999999999994</v>
      </c>
      <c r="I221" s="44"/>
      <c r="J221" s="45"/>
      <c r="K221" s="46"/>
      <c r="L221" s="17"/>
      <c r="M221" s="47"/>
      <c r="N221" s="18"/>
      <c r="O221" s="47"/>
      <c r="P221" s="17"/>
      <c r="Q221" s="47"/>
      <c r="R221" s="18"/>
      <c r="S221" s="48"/>
      <c r="T221" s="49"/>
      <c r="U221" s="48"/>
      <c r="V221" s="49"/>
      <c r="W221" s="29"/>
      <c r="X221" s="89" t="s">
        <v>170</v>
      </c>
      <c r="Y221" s="8"/>
      <c r="Z221" s="8"/>
      <c r="AA221" s="95">
        <v>13.041</v>
      </c>
      <c r="AB221" s="8" t="s">
        <v>182</v>
      </c>
      <c r="AC221" s="8"/>
    </row>
    <row r="222" spans="1:29" ht="28.5" hidden="1" customHeight="1" x14ac:dyDescent="0.2">
      <c r="A222" s="13" t="s">
        <v>9</v>
      </c>
      <c r="B222" s="39"/>
      <c r="C222" s="93" t="s">
        <v>36</v>
      </c>
      <c r="D222" s="40" t="s">
        <v>139</v>
      </c>
      <c r="E222" s="41" t="s">
        <v>150</v>
      </c>
      <c r="F222" s="40"/>
      <c r="G222" s="42" t="s">
        <v>128</v>
      </c>
      <c r="H222" s="43">
        <f>1.51*1.15</f>
        <v>1.7364999999999999</v>
      </c>
      <c r="I222" s="44"/>
      <c r="J222" s="45"/>
      <c r="K222" s="46"/>
      <c r="L222" s="17"/>
      <c r="M222" s="47"/>
      <c r="N222" s="18"/>
      <c r="O222" s="47"/>
      <c r="P222" s="17"/>
      <c r="Q222" s="47"/>
      <c r="R222" s="18"/>
      <c r="S222" s="48"/>
      <c r="T222" s="49"/>
      <c r="U222" s="48"/>
      <c r="V222" s="49"/>
      <c r="W222" s="29"/>
      <c r="X222" s="89" t="s">
        <v>170</v>
      </c>
      <c r="Y222" s="8"/>
      <c r="Z222" s="8"/>
      <c r="AA222" s="95">
        <v>15.252000000000001</v>
      </c>
      <c r="AB222" s="8" t="s">
        <v>182</v>
      </c>
      <c r="AC222" s="8"/>
    </row>
    <row r="223" spans="1:29" ht="28.5" hidden="1" customHeight="1" x14ac:dyDescent="0.2">
      <c r="A223" s="13" t="s">
        <v>9</v>
      </c>
      <c r="B223" s="39"/>
      <c r="C223" s="93" t="s">
        <v>36</v>
      </c>
      <c r="D223" s="40" t="s">
        <v>139</v>
      </c>
      <c r="E223" s="41" t="s">
        <v>152</v>
      </c>
      <c r="F223" s="40"/>
      <c r="G223" s="42" t="s">
        <v>128</v>
      </c>
      <c r="H223" s="43">
        <f>0.99*1.15</f>
        <v>1.1384999999999998</v>
      </c>
      <c r="I223" s="44"/>
      <c r="J223" s="45"/>
      <c r="K223" s="46"/>
      <c r="L223" s="17"/>
      <c r="M223" s="47"/>
      <c r="N223" s="18"/>
      <c r="O223" s="47"/>
      <c r="P223" s="17"/>
      <c r="Q223" s="47"/>
      <c r="R223" s="18"/>
      <c r="S223" s="48"/>
      <c r="T223" s="49"/>
      <c r="U223" s="48"/>
      <c r="V223" s="49"/>
      <c r="W223" s="29"/>
      <c r="X223" s="89" t="s">
        <v>170</v>
      </c>
      <c r="Y223" s="8"/>
      <c r="Z223" s="8"/>
      <c r="AA223" s="95">
        <v>10.345499999999999</v>
      </c>
      <c r="AB223" s="8" t="s">
        <v>182</v>
      </c>
      <c r="AC223" s="8"/>
    </row>
    <row r="224" spans="1:29" ht="28.5" hidden="1" customHeight="1" x14ac:dyDescent="0.2">
      <c r="A224" s="13" t="s">
        <v>9</v>
      </c>
      <c r="B224" s="39"/>
      <c r="C224" s="93" t="s">
        <v>36</v>
      </c>
      <c r="D224" s="40" t="s">
        <v>139</v>
      </c>
      <c r="E224" s="41" t="s">
        <v>210</v>
      </c>
      <c r="F224" s="40"/>
      <c r="G224" s="42" t="s">
        <v>128</v>
      </c>
      <c r="H224" s="43">
        <f>0.84*1.15</f>
        <v>0.96599999999999986</v>
      </c>
      <c r="I224" s="44"/>
      <c r="J224" s="45"/>
      <c r="K224" s="46"/>
      <c r="L224" s="17"/>
      <c r="M224" s="47"/>
      <c r="N224" s="18"/>
      <c r="O224" s="47"/>
      <c r="P224" s="17"/>
      <c r="Q224" s="47"/>
      <c r="R224" s="18"/>
      <c r="S224" s="48"/>
      <c r="T224" s="49"/>
      <c r="U224" s="48"/>
      <c r="V224" s="49"/>
      <c r="W224" s="29"/>
      <c r="X224" s="89" t="s">
        <v>170</v>
      </c>
      <c r="Y224" s="8"/>
      <c r="Z224" s="8"/>
      <c r="AA224" s="95">
        <v>8.4262999999999995</v>
      </c>
      <c r="AB224" s="8" t="s">
        <v>182</v>
      </c>
      <c r="AC224" s="8"/>
    </row>
    <row r="225" spans="1:29" ht="28.5" hidden="1" customHeight="1" x14ac:dyDescent="0.2">
      <c r="A225" s="13" t="s">
        <v>9</v>
      </c>
      <c r="B225" s="39"/>
      <c r="C225" s="93" t="s">
        <v>36</v>
      </c>
      <c r="D225" s="40" t="s">
        <v>139</v>
      </c>
      <c r="E225" s="41" t="s">
        <v>222</v>
      </c>
      <c r="F225" s="40"/>
      <c r="G225" s="42" t="s">
        <v>128</v>
      </c>
      <c r="H225" s="43">
        <f>0.08*1.15</f>
        <v>9.1999999999999998E-2</v>
      </c>
      <c r="I225" s="44"/>
      <c r="J225" s="45"/>
      <c r="K225" s="46"/>
      <c r="L225" s="17"/>
      <c r="M225" s="47"/>
      <c r="N225" s="18"/>
      <c r="O225" s="47"/>
      <c r="P225" s="17"/>
      <c r="Q225" s="47"/>
      <c r="R225" s="18"/>
      <c r="S225" s="48"/>
      <c r="T225" s="49"/>
      <c r="U225" s="48"/>
      <c r="V225" s="49"/>
      <c r="W225" s="29"/>
      <c r="X225" s="89" t="s">
        <v>170</v>
      </c>
      <c r="Y225" s="8"/>
      <c r="Z225" s="8"/>
      <c r="AA225" s="95">
        <v>0.54900000000000004</v>
      </c>
      <c r="AB225" s="8" t="s">
        <v>182</v>
      </c>
      <c r="AC225" s="8"/>
    </row>
    <row r="226" spans="1:29" ht="28.5" hidden="1" customHeight="1" x14ac:dyDescent="0.2">
      <c r="A226" s="13" t="s">
        <v>9</v>
      </c>
      <c r="B226" s="39"/>
      <c r="C226" s="93" t="s">
        <v>36</v>
      </c>
      <c r="D226" s="40" t="s">
        <v>139</v>
      </c>
      <c r="E226" s="41" t="s">
        <v>255</v>
      </c>
      <c r="F226" s="40"/>
      <c r="G226" s="42" t="s">
        <v>128</v>
      </c>
      <c r="H226" s="43">
        <f>0.06*1.15</f>
        <v>6.8999999999999992E-2</v>
      </c>
      <c r="I226" s="44"/>
      <c r="J226" s="45"/>
      <c r="K226" s="46"/>
      <c r="L226" s="17"/>
      <c r="M226" s="47"/>
      <c r="N226" s="18"/>
      <c r="O226" s="47"/>
      <c r="P226" s="17"/>
      <c r="Q226" s="47"/>
      <c r="R226" s="18"/>
      <c r="S226" s="48"/>
      <c r="T226" s="49"/>
      <c r="U226" s="48"/>
      <c r="V226" s="49"/>
      <c r="W226" s="29"/>
      <c r="X226" s="89" t="s">
        <v>170</v>
      </c>
      <c r="Y226" s="8"/>
      <c r="Z226" s="8"/>
      <c r="AA226" s="95">
        <v>0.40500000000000003</v>
      </c>
      <c r="AB226" s="8" t="s">
        <v>182</v>
      </c>
      <c r="AC226" s="8"/>
    </row>
    <row r="227" spans="1:29" ht="28.5" hidden="1" customHeight="1" x14ac:dyDescent="0.2">
      <c r="A227" s="13" t="s">
        <v>9</v>
      </c>
      <c r="B227" s="39"/>
      <c r="C227" s="93" t="s">
        <v>36</v>
      </c>
      <c r="D227" s="40" t="s">
        <v>139</v>
      </c>
      <c r="E227" s="41" t="s">
        <v>156</v>
      </c>
      <c r="F227" s="40"/>
      <c r="G227" s="42" t="s">
        <v>128</v>
      </c>
      <c r="H227" s="43">
        <f>0.36*1.15</f>
        <v>0.41399999999999998</v>
      </c>
      <c r="I227" s="44"/>
      <c r="J227" s="45"/>
      <c r="K227" s="46"/>
      <c r="L227" s="17"/>
      <c r="M227" s="47"/>
      <c r="N227" s="18"/>
      <c r="O227" s="47"/>
      <c r="P227" s="17"/>
      <c r="Q227" s="47"/>
      <c r="R227" s="18"/>
      <c r="S227" s="48"/>
      <c r="T227" s="49"/>
      <c r="U227" s="48"/>
      <c r="V227" s="49"/>
      <c r="W227" s="29"/>
      <c r="X227" s="89" t="s">
        <v>170</v>
      </c>
      <c r="Y227" s="8"/>
      <c r="Z227" s="8"/>
      <c r="AA227" s="95">
        <v>3.6</v>
      </c>
      <c r="AB227" s="8" t="s">
        <v>182</v>
      </c>
      <c r="AC227" s="8"/>
    </row>
    <row r="228" spans="1:29" ht="28.5" hidden="1" customHeight="1" x14ac:dyDescent="0.2">
      <c r="A228" s="13" t="s">
        <v>9</v>
      </c>
      <c r="B228" s="39"/>
      <c r="C228" s="93" t="s">
        <v>36</v>
      </c>
      <c r="D228" s="40" t="s">
        <v>139</v>
      </c>
      <c r="E228" s="41" t="s">
        <v>157</v>
      </c>
      <c r="F228" s="40"/>
      <c r="G228" s="42" t="s">
        <v>128</v>
      </c>
      <c r="H228" s="43">
        <f>1.47*1.15</f>
        <v>1.6904999999999999</v>
      </c>
      <c r="I228" s="44"/>
      <c r="J228" s="45"/>
      <c r="K228" s="46"/>
      <c r="L228" s="17"/>
      <c r="M228" s="47"/>
      <c r="N228" s="18"/>
      <c r="O228" s="47"/>
      <c r="P228" s="17"/>
      <c r="Q228" s="47"/>
      <c r="R228" s="18"/>
      <c r="S228" s="48"/>
      <c r="T228" s="49"/>
      <c r="U228" s="48"/>
      <c r="V228" s="49"/>
      <c r="W228" s="29"/>
      <c r="X228" s="89" t="s">
        <v>170</v>
      </c>
      <c r="Y228" s="8"/>
      <c r="Z228" s="8"/>
      <c r="AA228" s="95">
        <v>9.9</v>
      </c>
      <c r="AB228" s="8" t="s">
        <v>182</v>
      </c>
      <c r="AC228" s="8"/>
    </row>
    <row r="229" spans="1:29" ht="28.5" hidden="1" customHeight="1" x14ac:dyDescent="0.2">
      <c r="A229" s="13" t="s">
        <v>9</v>
      </c>
      <c r="B229" s="39"/>
      <c r="C229" s="93" t="s">
        <v>36</v>
      </c>
      <c r="D229" s="40" t="s">
        <v>139</v>
      </c>
      <c r="E229" s="41" t="s">
        <v>158</v>
      </c>
      <c r="F229" s="40"/>
      <c r="G229" s="42" t="s">
        <v>128</v>
      </c>
      <c r="H229" s="43">
        <f>0.21*1.15</f>
        <v>0.24149999999999996</v>
      </c>
      <c r="I229" s="44"/>
      <c r="J229" s="45"/>
      <c r="K229" s="46"/>
      <c r="L229" s="17"/>
      <c r="M229" s="47"/>
      <c r="N229" s="18"/>
      <c r="O229" s="47"/>
      <c r="P229" s="17"/>
      <c r="Q229" s="47"/>
      <c r="R229" s="18"/>
      <c r="S229" s="48"/>
      <c r="T229" s="49"/>
      <c r="U229" s="48"/>
      <c r="V229" s="49"/>
      <c r="W229" s="29"/>
      <c r="X229" s="89" t="s">
        <v>170</v>
      </c>
      <c r="Y229" s="8"/>
      <c r="Z229" s="8"/>
      <c r="AA229" s="95">
        <v>2.7</v>
      </c>
      <c r="AB229" s="8" t="s">
        <v>182</v>
      </c>
      <c r="AC229" s="8"/>
    </row>
    <row r="230" spans="1:29" ht="28.5" hidden="1" customHeight="1" x14ac:dyDescent="0.2">
      <c r="A230" s="13" t="s">
        <v>9</v>
      </c>
      <c r="B230" s="39"/>
      <c r="C230" s="93" t="s">
        <v>36</v>
      </c>
      <c r="D230" s="40" t="s">
        <v>139</v>
      </c>
      <c r="E230" s="41" t="s">
        <v>159</v>
      </c>
      <c r="F230" s="40"/>
      <c r="G230" s="42" t="s">
        <v>128</v>
      </c>
      <c r="H230" s="43">
        <f>1.22*1.15</f>
        <v>1.4029999999999998</v>
      </c>
      <c r="I230" s="44"/>
      <c r="J230" s="45"/>
      <c r="K230" s="46"/>
      <c r="L230" s="17"/>
      <c r="M230" s="47"/>
      <c r="N230" s="18"/>
      <c r="O230" s="47"/>
      <c r="P230" s="17"/>
      <c r="Q230" s="47"/>
      <c r="R230" s="18"/>
      <c r="S230" s="48"/>
      <c r="T230" s="49"/>
      <c r="U230" s="48"/>
      <c r="V230" s="49"/>
      <c r="W230" s="29"/>
      <c r="X230" s="89" t="s">
        <v>170</v>
      </c>
      <c r="Y230" s="8"/>
      <c r="Z230" s="8"/>
      <c r="AA230" s="95">
        <v>8.4</v>
      </c>
      <c r="AB230" s="8" t="s">
        <v>182</v>
      </c>
      <c r="AC230" s="8"/>
    </row>
    <row r="231" spans="1:29" ht="28.5" hidden="1" customHeight="1" x14ac:dyDescent="0.2">
      <c r="A231" s="13" t="s">
        <v>9</v>
      </c>
      <c r="B231" s="39"/>
      <c r="C231" s="93" t="s">
        <v>36</v>
      </c>
      <c r="D231" s="40" t="s">
        <v>139</v>
      </c>
      <c r="E231" s="41" t="s">
        <v>163</v>
      </c>
      <c r="F231" s="40"/>
      <c r="G231" s="42" t="s">
        <v>128</v>
      </c>
      <c r="H231" s="43">
        <f>0.65*1.15</f>
        <v>0.74749999999999994</v>
      </c>
      <c r="I231" s="44"/>
      <c r="J231" s="45"/>
      <c r="K231" s="46"/>
      <c r="L231" s="17"/>
      <c r="M231" s="47"/>
      <c r="N231" s="18"/>
      <c r="O231" s="47"/>
      <c r="P231" s="17"/>
      <c r="Q231" s="47"/>
      <c r="R231" s="18"/>
      <c r="S231" s="48"/>
      <c r="T231" s="49"/>
      <c r="U231" s="48"/>
      <c r="V231" s="49"/>
      <c r="W231" s="29"/>
      <c r="X231" s="89" t="s">
        <v>170</v>
      </c>
      <c r="Y231" s="8"/>
      <c r="Z231" s="8"/>
      <c r="AA231" s="95">
        <v>6.75</v>
      </c>
      <c r="AB231" s="8" t="s">
        <v>182</v>
      </c>
      <c r="AC231" s="8"/>
    </row>
    <row r="232" spans="1:29" ht="28.5" hidden="1" customHeight="1" x14ac:dyDescent="0.2">
      <c r="A232" s="13" t="s">
        <v>9</v>
      </c>
      <c r="B232" s="39"/>
      <c r="C232" s="93" t="s">
        <v>36</v>
      </c>
      <c r="D232" s="40" t="s">
        <v>139</v>
      </c>
      <c r="E232" s="41" t="s">
        <v>160</v>
      </c>
      <c r="F232" s="40"/>
      <c r="G232" s="42" t="s">
        <v>128</v>
      </c>
      <c r="H232" s="43">
        <f>3.7*1.15</f>
        <v>4.2549999999999999</v>
      </c>
      <c r="I232" s="44"/>
      <c r="J232" s="45"/>
      <c r="K232" s="46"/>
      <c r="L232" s="17"/>
      <c r="M232" s="47"/>
      <c r="N232" s="18"/>
      <c r="O232" s="47"/>
      <c r="P232" s="17"/>
      <c r="Q232" s="47"/>
      <c r="R232" s="18"/>
      <c r="S232" s="48"/>
      <c r="T232" s="49"/>
      <c r="U232" s="48"/>
      <c r="V232" s="49"/>
      <c r="W232" s="29"/>
      <c r="X232" s="89" t="s">
        <v>170</v>
      </c>
      <c r="Y232" s="8"/>
      <c r="Z232" s="8"/>
      <c r="AA232" s="95">
        <v>37.799999999999997</v>
      </c>
      <c r="AB232" s="8" t="s">
        <v>182</v>
      </c>
      <c r="AC232" s="8"/>
    </row>
    <row r="233" spans="1:29" ht="28.5" hidden="1" customHeight="1" x14ac:dyDescent="0.2">
      <c r="A233" s="13" t="s">
        <v>9</v>
      </c>
      <c r="B233" s="39"/>
      <c r="C233" s="93" t="s">
        <v>36</v>
      </c>
      <c r="D233" s="40" t="s">
        <v>139</v>
      </c>
      <c r="E233" s="41" t="s">
        <v>161</v>
      </c>
      <c r="F233" s="40"/>
      <c r="G233" s="42" t="s">
        <v>128</v>
      </c>
      <c r="H233" s="43">
        <f>5.3*1.15</f>
        <v>6.0949999999999998</v>
      </c>
      <c r="I233" s="44"/>
      <c r="J233" s="45"/>
      <c r="K233" s="46"/>
      <c r="L233" s="17"/>
      <c r="M233" s="47"/>
      <c r="N233" s="18"/>
      <c r="O233" s="47"/>
      <c r="P233" s="17"/>
      <c r="Q233" s="47"/>
      <c r="R233" s="18"/>
      <c r="S233" s="48"/>
      <c r="T233" s="49"/>
      <c r="U233" s="48"/>
      <c r="V233" s="49"/>
      <c r="W233" s="29"/>
      <c r="X233" s="89" t="s">
        <v>170</v>
      </c>
      <c r="Y233" s="8"/>
      <c r="Z233" s="8"/>
      <c r="AA233" s="95">
        <v>106.2</v>
      </c>
      <c r="AB233" s="8" t="s">
        <v>182</v>
      </c>
      <c r="AC233" s="8"/>
    </row>
    <row r="234" spans="1:29" ht="28.5" hidden="1" customHeight="1" x14ac:dyDescent="0.2">
      <c r="A234" s="13" t="s">
        <v>9</v>
      </c>
      <c r="B234" s="39"/>
      <c r="C234" s="93" t="s">
        <v>36</v>
      </c>
      <c r="D234" s="40" t="s">
        <v>139</v>
      </c>
      <c r="E234" s="41" t="s">
        <v>213</v>
      </c>
      <c r="F234" s="40"/>
      <c r="G234" s="42" t="s">
        <v>128</v>
      </c>
      <c r="H234" s="43">
        <f>0.13*1.15</f>
        <v>0.14949999999999999</v>
      </c>
      <c r="I234" s="44"/>
      <c r="J234" s="45"/>
      <c r="K234" s="46"/>
      <c r="L234" s="17"/>
      <c r="M234" s="47"/>
      <c r="N234" s="18"/>
      <c r="O234" s="47"/>
      <c r="P234" s="17"/>
      <c r="Q234" s="47"/>
      <c r="R234" s="18"/>
      <c r="S234" s="48"/>
      <c r="T234" s="49"/>
      <c r="U234" s="48"/>
      <c r="V234" s="49"/>
      <c r="W234" s="29"/>
      <c r="X234" s="89" t="s">
        <v>170</v>
      </c>
      <c r="Y234" s="8"/>
      <c r="Z234" s="8"/>
      <c r="AA234" s="95">
        <v>5.4</v>
      </c>
      <c r="AB234" s="8" t="s">
        <v>182</v>
      </c>
      <c r="AC234" s="8"/>
    </row>
    <row r="235" spans="1:29" ht="28.5" hidden="1" customHeight="1" x14ac:dyDescent="0.2">
      <c r="A235" s="13" t="s">
        <v>9</v>
      </c>
      <c r="B235" s="39"/>
      <c r="C235" s="93" t="s">
        <v>36</v>
      </c>
      <c r="D235" s="40" t="s">
        <v>139</v>
      </c>
      <c r="E235" s="41" t="s">
        <v>214</v>
      </c>
      <c r="F235" s="40"/>
      <c r="G235" s="42" t="s">
        <v>128</v>
      </c>
      <c r="H235" s="43">
        <f>1.92*1.15</f>
        <v>2.2079999999999997</v>
      </c>
      <c r="I235" s="44"/>
      <c r="J235" s="45"/>
      <c r="K235" s="46"/>
      <c r="L235" s="17"/>
      <c r="M235" s="47"/>
      <c r="N235" s="18"/>
      <c r="O235" s="47"/>
      <c r="P235" s="17"/>
      <c r="Q235" s="47"/>
      <c r="R235" s="18"/>
      <c r="S235" s="48"/>
      <c r="T235" s="49"/>
      <c r="U235" s="48"/>
      <c r="V235" s="49"/>
      <c r="W235" s="29"/>
      <c r="X235" s="89" t="s">
        <v>170</v>
      </c>
      <c r="Y235" s="8"/>
      <c r="Z235" s="8"/>
      <c r="AA235" s="95">
        <v>26.4</v>
      </c>
      <c r="AB235" s="8" t="s">
        <v>182</v>
      </c>
      <c r="AC235" s="8"/>
    </row>
    <row r="236" spans="1:29" ht="28.5" hidden="1" customHeight="1" x14ac:dyDescent="0.2">
      <c r="A236" s="13" t="s">
        <v>9</v>
      </c>
      <c r="B236" s="39"/>
      <c r="C236" s="93" t="s">
        <v>36</v>
      </c>
      <c r="D236" s="40" t="s">
        <v>139</v>
      </c>
      <c r="E236" s="41" t="s">
        <v>165</v>
      </c>
      <c r="F236" s="40"/>
      <c r="G236" s="42" t="s">
        <v>128</v>
      </c>
      <c r="H236" s="43">
        <f>0.21*1.15</f>
        <v>0.24149999999999996</v>
      </c>
      <c r="I236" s="44"/>
      <c r="J236" s="45"/>
      <c r="K236" s="46"/>
      <c r="L236" s="17"/>
      <c r="M236" s="47"/>
      <c r="N236" s="18"/>
      <c r="O236" s="47"/>
      <c r="P236" s="17"/>
      <c r="Q236" s="47"/>
      <c r="R236" s="18"/>
      <c r="S236" s="48"/>
      <c r="T236" s="49"/>
      <c r="U236" s="48"/>
      <c r="V236" s="49"/>
      <c r="W236" s="29"/>
      <c r="X236" s="89" t="s">
        <v>170</v>
      </c>
      <c r="Y236" s="8"/>
      <c r="Z236" s="8"/>
      <c r="AA236" s="95">
        <v>4.2</v>
      </c>
      <c r="AB236" s="8" t="s">
        <v>182</v>
      </c>
      <c r="AC236" s="8"/>
    </row>
    <row r="237" spans="1:29" ht="28.5" hidden="1" customHeight="1" x14ac:dyDescent="0.2">
      <c r="A237" s="13" t="s">
        <v>9</v>
      </c>
      <c r="B237" s="39"/>
      <c r="C237" s="93" t="s">
        <v>36</v>
      </c>
      <c r="D237" s="40" t="s">
        <v>139</v>
      </c>
      <c r="E237" s="41" t="s">
        <v>162</v>
      </c>
      <c r="F237" s="40"/>
      <c r="G237" s="42" t="s">
        <v>128</v>
      </c>
      <c r="H237" s="43">
        <f>0.56*1.15</f>
        <v>0.64400000000000002</v>
      </c>
      <c r="I237" s="44"/>
      <c r="J237" s="45"/>
      <c r="K237" s="46"/>
      <c r="L237" s="17"/>
      <c r="M237" s="47"/>
      <c r="N237" s="18"/>
      <c r="O237" s="47"/>
      <c r="P237" s="17"/>
      <c r="Q237" s="47"/>
      <c r="R237" s="18"/>
      <c r="S237" s="48"/>
      <c r="T237" s="49"/>
      <c r="U237" s="48"/>
      <c r="V237" s="49"/>
      <c r="W237" s="29"/>
      <c r="X237" s="89" t="s">
        <v>170</v>
      </c>
      <c r="Y237" s="8"/>
      <c r="Z237" s="8"/>
      <c r="AA237" s="95">
        <v>14.16</v>
      </c>
      <c r="AB237" s="8" t="s">
        <v>182</v>
      </c>
      <c r="AC237" s="8"/>
    </row>
    <row r="238" spans="1:29" ht="28.5" hidden="1" customHeight="1" x14ac:dyDescent="0.2">
      <c r="A238" s="13" t="s">
        <v>9</v>
      </c>
      <c r="B238" s="39"/>
      <c r="C238" s="93" t="s">
        <v>36</v>
      </c>
      <c r="D238" s="40" t="s">
        <v>139</v>
      </c>
      <c r="E238" s="41" t="s">
        <v>215</v>
      </c>
      <c r="F238" s="40"/>
      <c r="G238" s="42" t="s">
        <v>128</v>
      </c>
      <c r="H238" s="43">
        <f>7.57*1.15</f>
        <v>8.7054999999999989</v>
      </c>
      <c r="I238" s="44"/>
      <c r="J238" s="45"/>
      <c r="K238" s="46"/>
      <c r="L238" s="17"/>
      <c r="M238" s="47"/>
      <c r="N238" s="18"/>
      <c r="O238" s="47"/>
      <c r="P238" s="17"/>
      <c r="Q238" s="47"/>
      <c r="R238" s="18"/>
      <c r="S238" s="48"/>
      <c r="T238" s="49"/>
      <c r="U238" s="48"/>
      <c r="V238" s="49"/>
      <c r="W238" s="29"/>
      <c r="X238" s="89" t="s">
        <v>170</v>
      </c>
      <c r="Y238" s="8"/>
      <c r="Z238" s="8"/>
      <c r="AA238" s="95">
        <v>189.6</v>
      </c>
      <c r="AB238" s="8" t="s">
        <v>182</v>
      </c>
      <c r="AC238" s="8"/>
    </row>
    <row r="239" spans="1:29" ht="28.5" hidden="1" customHeight="1" x14ac:dyDescent="0.2">
      <c r="A239" s="13" t="s">
        <v>9</v>
      </c>
      <c r="B239" s="39"/>
      <c r="C239" s="93" t="s">
        <v>36</v>
      </c>
      <c r="D239" s="40" t="s">
        <v>139</v>
      </c>
      <c r="E239" s="41" t="s">
        <v>216</v>
      </c>
      <c r="F239" s="40"/>
      <c r="G239" s="42" t="s">
        <v>128</v>
      </c>
      <c r="H239" s="43">
        <f>0.26*1.15</f>
        <v>0.29899999999999999</v>
      </c>
      <c r="I239" s="44"/>
      <c r="J239" s="45"/>
      <c r="K239" s="46"/>
      <c r="L239" s="17"/>
      <c r="M239" s="47"/>
      <c r="N239" s="18"/>
      <c r="O239" s="47"/>
      <c r="P239" s="17"/>
      <c r="Q239" s="47"/>
      <c r="R239" s="18"/>
      <c r="S239" s="48"/>
      <c r="T239" s="49"/>
      <c r="U239" s="48"/>
      <c r="V239" s="49"/>
      <c r="W239" s="29"/>
      <c r="X239" s="89" t="s">
        <v>170</v>
      </c>
      <c r="Y239" s="8"/>
      <c r="Z239" s="8"/>
      <c r="AA239" s="95">
        <v>10.8</v>
      </c>
      <c r="AB239" s="8" t="s">
        <v>182</v>
      </c>
      <c r="AC239" s="8"/>
    </row>
    <row r="240" spans="1:29" ht="28.5" hidden="1" customHeight="1" x14ac:dyDescent="0.2">
      <c r="A240" s="13" t="s">
        <v>9</v>
      </c>
      <c r="B240" s="39"/>
      <c r="C240" s="93" t="s">
        <v>36</v>
      </c>
      <c r="D240" s="40" t="s">
        <v>139</v>
      </c>
      <c r="E240" s="41" t="s">
        <v>169</v>
      </c>
      <c r="F240" s="40"/>
      <c r="G240" s="42" t="s">
        <v>128</v>
      </c>
      <c r="H240" s="43">
        <f>0.1*1.15</f>
        <v>0.11499999999999999</v>
      </c>
      <c r="I240" s="44"/>
      <c r="J240" s="45"/>
      <c r="K240" s="46"/>
      <c r="L240" s="17"/>
      <c r="M240" s="47"/>
      <c r="N240" s="18"/>
      <c r="O240" s="47"/>
      <c r="P240" s="17"/>
      <c r="Q240" s="47"/>
      <c r="R240" s="18"/>
      <c r="S240" s="48"/>
      <c r="T240" s="49"/>
      <c r="U240" s="48"/>
      <c r="V240" s="49"/>
      <c r="W240" s="29"/>
      <c r="X240" s="89" t="s">
        <v>170</v>
      </c>
      <c r="Y240" s="8"/>
      <c r="Z240" s="8"/>
      <c r="AA240" s="95">
        <v>2.4</v>
      </c>
      <c r="AB240" s="8" t="s">
        <v>182</v>
      </c>
      <c r="AC240" s="8"/>
    </row>
    <row r="241" spans="1:29" ht="28.5" hidden="1" customHeight="1" x14ac:dyDescent="0.2">
      <c r="A241" s="13" t="s">
        <v>9</v>
      </c>
      <c r="B241" s="39"/>
      <c r="C241" s="93" t="s">
        <v>36</v>
      </c>
      <c r="D241" s="40" t="s">
        <v>139</v>
      </c>
      <c r="E241" s="41" t="s">
        <v>168</v>
      </c>
      <c r="F241" s="40"/>
      <c r="G241" s="42" t="s">
        <v>128</v>
      </c>
      <c r="H241" s="43">
        <f>0.08*1.15</f>
        <v>9.1999999999999998E-2</v>
      </c>
      <c r="I241" s="44"/>
      <c r="J241" s="45"/>
      <c r="K241" s="46"/>
      <c r="L241" s="17"/>
      <c r="M241" s="47"/>
      <c r="N241" s="18"/>
      <c r="O241" s="47"/>
      <c r="P241" s="17"/>
      <c r="Q241" s="47"/>
      <c r="R241" s="18"/>
      <c r="S241" s="48"/>
      <c r="T241" s="49"/>
      <c r="U241" s="48"/>
      <c r="V241" s="49"/>
      <c r="W241" s="29"/>
      <c r="X241" s="89" t="s">
        <v>170</v>
      </c>
      <c r="Y241" s="8"/>
      <c r="Z241" s="8"/>
      <c r="AA241" s="95">
        <v>1.2</v>
      </c>
      <c r="AB241" s="8" t="s">
        <v>182</v>
      </c>
      <c r="AC241" s="8"/>
    </row>
    <row r="242" spans="1:29" ht="28.5" hidden="1" customHeight="1" x14ac:dyDescent="0.2">
      <c r="A242" s="13" t="s">
        <v>9</v>
      </c>
      <c r="B242" s="39"/>
      <c r="C242" s="93" t="s">
        <v>36</v>
      </c>
      <c r="D242" s="40" t="s">
        <v>139</v>
      </c>
      <c r="E242" s="41" t="s">
        <v>167</v>
      </c>
      <c r="F242" s="40"/>
      <c r="G242" s="42" t="s">
        <v>128</v>
      </c>
      <c r="H242" s="43">
        <f>0.05*1.15</f>
        <v>5.7499999999999996E-2</v>
      </c>
      <c r="I242" s="44"/>
      <c r="J242" s="45"/>
      <c r="K242" s="46"/>
      <c r="L242" s="17"/>
      <c r="M242" s="47"/>
      <c r="N242" s="18"/>
      <c r="O242" s="47"/>
      <c r="P242" s="17"/>
      <c r="Q242" s="47"/>
      <c r="R242" s="18"/>
      <c r="S242" s="48"/>
      <c r="T242" s="49"/>
      <c r="U242" s="48"/>
      <c r="V242" s="49"/>
      <c r="W242" s="29"/>
      <c r="X242" s="89" t="s">
        <v>170</v>
      </c>
      <c r="Y242" s="8"/>
      <c r="Z242" s="8"/>
      <c r="AA242" s="95">
        <v>0.6</v>
      </c>
      <c r="AB242" s="8" t="s">
        <v>182</v>
      </c>
      <c r="AC242" s="8"/>
    </row>
    <row r="243" spans="1:29" ht="28.5" hidden="1" customHeight="1" x14ac:dyDescent="0.2">
      <c r="A243" s="13" t="s">
        <v>9</v>
      </c>
      <c r="B243" s="39"/>
      <c r="C243" s="93" t="s">
        <v>36</v>
      </c>
      <c r="D243" s="40" t="s">
        <v>139</v>
      </c>
      <c r="E243" s="41" t="s">
        <v>166</v>
      </c>
      <c r="F243" s="40"/>
      <c r="G243" s="42" t="s">
        <v>128</v>
      </c>
      <c r="H243" s="43">
        <f>0.03*1.15</f>
        <v>3.4499999999999996E-2</v>
      </c>
      <c r="I243" s="44"/>
      <c r="J243" s="45"/>
      <c r="K243" s="46"/>
      <c r="L243" s="17"/>
      <c r="M243" s="47"/>
      <c r="N243" s="18"/>
      <c r="O243" s="47"/>
      <c r="P243" s="17"/>
      <c r="Q243" s="47"/>
      <c r="R243" s="18"/>
      <c r="S243" s="48"/>
      <c r="T243" s="49"/>
      <c r="U243" s="48"/>
      <c r="V243" s="49"/>
      <c r="W243" s="29"/>
      <c r="X243" s="89" t="s">
        <v>170</v>
      </c>
      <c r="Y243" s="8"/>
      <c r="Z243" s="8"/>
      <c r="AA243" s="95">
        <v>0.96</v>
      </c>
      <c r="AB243" s="8" t="s">
        <v>182</v>
      </c>
      <c r="AC243" s="8"/>
    </row>
    <row r="244" spans="1:29" ht="28.5" hidden="1" customHeight="1" x14ac:dyDescent="0.2">
      <c r="A244" s="13" t="s">
        <v>9</v>
      </c>
      <c r="B244" s="39"/>
      <c r="C244" s="93" t="s">
        <v>36</v>
      </c>
      <c r="D244" s="40" t="s">
        <v>139</v>
      </c>
      <c r="E244" s="41" t="s">
        <v>217</v>
      </c>
      <c r="F244" s="40"/>
      <c r="G244" s="42" t="s">
        <v>128</v>
      </c>
      <c r="H244" s="43">
        <f>0.24*1.15</f>
        <v>0.27599999999999997</v>
      </c>
      <c r="I244" s="44"/>
      <c r="J244" s="45"/>
      <c r="K244" s="46"/>
      <c r="L244" s="17"/>
      <c r="M244" s="47"/>
      <c r="N244" s="18"/>
      <c r="O244" s="47"/>
      <c r="P244" s="17"/>
      <c r="Q244" s="47"/>
      <c r="R244" s="18"/>
      <c r="S244" s="48"/>
      <c r="T244" s="49"/>
      <c r="U244" s="48"/>
      <c r="V244" s="49"/>
      <c r="W244" s="29"/>
      <c r="X244" s="89" t="s">
        <v>170</v>
      </c>
      <c r="Y244" s="8"/>
      <c r="Z244" s="8"/>
      <c r="AA244" s="95">
        <v>6</v>
      </c>
      <c r="AB244" s="8" t="s">
        <v>182</v>
      </c>
      <c r="AC244" s="8"/>
    </row>
    <row r="245" spans="1:29" s="69" customFormat="1" ht="28.5" customHeight="1" x14ac:dyDescent="0.2">
      <c r="A245" s="66" t="s">
        <v>8</v>
      </c>
      <c r="B245" s="33" t="s">
        <v>235</v>
      </c>
      <c r="C245" s="23" t="s">
        <v>36</v>
      </c>
      <c r="D245" s="23" t="s">
        <v>139</v>
      </c>
      <c r="E245" s="24" t="s">
        <v>140</v>
      </c>
      <c r="F245" s="36"/>
      <c r="G245" s="37" t="s">
        <v>119</v>
      </c>
      <c r="H245" s="38">
        <v>20</v>
      </c>
      <c r="I245" s="25"/>
      <c r="J245" s="34"/>
      <c r="K245" s="32"/>
      <c r="L245" s="26"/>
      <c r="M245" s="67"/>
      <c r="N245" s="28"/>
      <c r="O245" s="67"/>
      <c r="P245" s="26"/>
      <c r="Q245" s="67"/>
      <c r="R245" s="28"/>
      <c r="S245" s="27"/>
      <c r="T245" s="28"/>
      <c r="U245" s="27"/>
      <c r="V245" s="28"/>
      <c r="W245" s="68"/>
      <c r="X245" s="88"/>
      <c r="Y245" s="88"/>
      <c r="Z245" s="88"/>
      <c r="AA245" s="88"/>
      <c r="AB245" s="88"/>
      <c r="AC245" s="88"/>
    </row>
    <row r="246" spans="1:29" ht="28.5" hidden="1" customHeight="1" x14ac:dyDescent="0.2">
      <c r="A246" s="13" t="s">
        <v>9</v>
      </c>
      <c r="B246" s="39"/>
      <c r="C246" s="93" t="s">
        <v>36</v>
      </c>
      <c r="D246" s="40" t="s">
        <v>139</v>
      </c>
      <c r="E246" s="41" t="s">
        <v>118</v>
      </c>
      <c r="F246" s="40"/>
      <c r="G246" s="42" t="s">
        <v>105</v>
      </c>
      <c r="H246" s="43">
        <f>H245*0.08*1.13</f>
        <v>1.8079999999999998</v>
      </c>
      <c r="I246" s="44"/>
      <c r="J246" s="45"/>
      <c r="K246" s="46"/>
      <c r="L246" s="17"/>
      <c r="M246" s="47"/>
      <c r="N246" s="18"/>
      <c r="O246" s="47"/>
      <c r="P246" s="17"/>
      <c r="Q246" s="47"/>
      <c r="R246" s="18"/>
      <c r="S246" s="48"/>
      <c r="T246" s="49"/>
      <c r="U246" s="48"/>
      <c r="V246" s="49"/>
      <c r="W246" s="29"/>
      <c r="X246" s="89" t="s">
        <v>122</v>
      </c>
      <c r="Y246" s="8"/>
      <c r="Z246" s="8"/>
      <c r="AA246" s="8"/>
      <c r="AB246" s="8"/>
      <c r="AC246" s="8"/>
    </row>
    <row r="247" spans="1:29" ht="28.5" hidden="1" customHeight="1" x14ac:dyDescent="0.2">
      <c r="A247" s="13" t="s">
        <v>9</v>
      </c>
      <c r="B247" s="39"/>
      <c r="C247" s="93" t="s">
        <v>36</v>
      </c>
      <c r="D247" s="40" t="s">
        <v>139</v>
      </c>
      <c r="E247" s="41" t="s">
        <v>121</v>
      </c>
      <c r="F247" s="40"/>
      <c r="G247" s="42" t="s">
        <v>105</v>
      </c>
      <c r="H247" s="43">
        <f>H245*0.14*2*1.13</f>
        <v>6.3280000000000003</v>
      </c>
      <c r="I247" s="44"/>
      <c r="J247" s="45"/>
      <c r="K247" s="46"/>
      <c r="L247" s="17"/>
      <c r="M247" s="47"/>
      <c r="N247" s="18"/>
      <c r="O247" s="47"/>
      <c r="P247" s="17"/>
      <c r="Q247" s="47"/>
      <c r="R247" s="18"/>
      <c r="S247" s="48"/>
      <c r="T247" s="49"/>
      <c r="U247" s="48"/>
      <c r="V247" s="49"/>
      <c r="W247" s="29"/>
      <c r="X247" s="89" t="s">
        <v>123</v>
      </c>
      <c r="Y247" s="8"/>
      <c r="Z247" s="8"/>
      <c r="AA247" s="8"/>
      <c r="AB247" s="8"/>
      <c r="AC247" s="8"/>
    </row>
    <row r="248" spans="1:29" s="69" customFormat="1" ht="28.5" customHeight="1" x14ac:dyDescent="0.2">
      <c r="A248" s="66" t="s">
        <v>8</v>
      </c>
      <c r="B248" s="33" t="s">
        <v>236</v>
      </c>
      <c r="C248" s="23" t="s">
        <v>36</v>
      </c>
      <c r="D248" s="23" t="s">
        <v>139</v>
      </c>
      <c r="E248" s="24" t="s">
        <v>360</v>
      </c>
      <c r="F248" s="36"/>
      <c r="G248" s="37" t="s">
        <v>119</v>
      </c>
      <c r="H248" s="38">
        <f>AA216</f>
        <v>624.78879999999992</v>
      </c>
      <c r="I248" s="25"/>
      <c r="J248" s="34"/>
      <c r="K248" s="32"/>
      <c r="L248" s="26"/>
      <c r="M248" s="67"/>
      <c r="N248" s="28"/>
      <c r="O248" s="67"/>
      <c r="P248" s="26"/>
      <c r="Q248" s="67"/>
      <c r="R248" s="28"/>
      <c r="S248" s="27"/>
      <c r="T248" s="28"/>
      <c r="U248" s="27"/>
      <c r="V248" s="28"/>
      <c r="W248" s="68"/>
      <c r="X248" s="88"/>
      <c r="Y248" s="88"/>
      <c r="Z248" s="88"/>
      <c r="AA248" s="88"/>
      <c r="AB248" s="88"/>
      <c r="AC248" s="88"/>
    </row>
    <row r="249" spans="1:29" ht="28.5" hidden="1" customHeight="1" x14ac:dyDescent="0.2">
      <c r="A249" s="13" t="s">
        <v>9</v>
      </c>
      <c r="B249" s="39"/>
      <c r="C249" s="93" t="s">
        <v>36</v>
      </c>
      <c r="D249" s="40" t="s">
        <v>139</v>
      </c>
      <c r="E249" s="41" t="s">
        <v>181</v>
      </c>
      <c r="F249" s="40"/>
      <c r="G249" s="42" t="s">
        <v>184</v>
      </c>
      <c r="H249" s="43">
        <f>H248*0.3</f>
        <v>187.43663999999998</v>
      </c>
      <c r="I249" s="44"/>
      <c r="J249" s="45"/>
      <c r="K249" s="46"/>
      <c r="L249" s="17"/>
      <c r="M249" s="47"/>
      <c r="N249" s="18"/>
      <c r="O249" s="47"/>
      <c r="P249" s="17"/>
      <c r="Q249" s="47"/>
      <c r="R249" s="18"/>
      <c r="S249" s="48"/>
      <c r="T249" s="49"/>
      <c r="U249" s="48"/>
      <c r="V249" s="49"/>
      <c r="W249" s="29"/>
      <c r="X249" s="89" t="s">
        <v>183</v>
      </c>
      <c r="Y249" s="8"/>
      <c r="Z249" s="8"/>
      <c r="AA249" s="8"/>
      <c r="AB249" s="8"/>
      <c r="AC249" s="8"/>
    </row>
    <row r="250" spans="1:29" s="69" customFormat="1" ht="28.5" customHeight="1" x14ac:dyDescent="0.2">
      <c r="A250" s="66" t="s">
        <v>8</v>
      </c>
      <c r="B250" s="33" t="s">
        <v>237</v>
      </c>
      <c r="C250" s="23" t="s">
        <v>36</v>
      </c>
      <c r="D250" s="23" t="s">
        <v>139</v>
      </c>
      <c r="E250" s="24" t="s">
        <v>186</v>
      </c>
      <c r="F250" s="36"/>
      <c r="G250" s="37" t="s">
        <v>119</v>
      </c>
      <c r="H250" s="38">
        <f>H248*3/100</f>
        <v>18.743663999999999</v>
      </c>
      <c r="I250" s="25"/>
      <c r="J250" s="34"/>
      <c r="K250" s="32"/>
      <c r="L250" s="26"/>
      <c r="M250" s="67"/>
      <c r="N250" s="28"/>
      <c r="O250" s="67"/>
      <c r="P250" s="26"/>
      <c r="Q250" s="67"/>
      <c r="R250" s="28"/>
      <c r="S250" s="27"/>
      <c r="T250" s="28"/>
      <c r="U250" s="27"/>
      <c r="V250" s="28"/>
      <c r="W250" s="68"/>
      <c r="X250" s="68" t="s">
        <v>188</v>
      </c>
      <c r="Y250" s="88"/>
      <c r="Z250" s="88"/>
      <c r="AA250" s="88"/>
      <c r="AB250" s="88"/>
      <c r="AC250" s="88"/>
    </row>
    <row r="251" spans="1:29" ht="28.5" hidden="1" customHeight="1" x14ac:dyDescent="0.2">
      <c r="A251" s="13" t="s">
        <v>9</v>
      </c>
      <c r="B251" s="39"/>
      <c r="C251" s="93" t="s">
        <v>36</v>
      </c>
      <c r="D251" s="40" t="s">
        <v>139</v>
      </c>
      <c r="E251" s="41" t="s">
        <v>171</v>
      </c>
      <c r="F251" s="40"/>
      <c r="G251" s="42" t="s">
        <v>119</v>
      </c>
      <c r="H251" s="43">
        <f>H250*1.12</f>
        <v>20.992903680000001</v>
      </c>
      <c r="I251" s="44"/>
      <c r="J251" s="45"/>
      <c r="K251" s="46"/>
      <c r="L251" s="17"/>
      <c r="M251" s="47"/>
      <c r="N251" s="18"/>
      <c r="O251" s="47"/>
      <c r="P251" s="17"/>
      <c r="Q251" s="47"/>
      <c r="R251" s="18"/>
      <c r="S251" s="48"/>
      <c r="T251" s="49"/>
      <c r="U251" s="48"/>
      <c r="V251" s="49"/>
      <c r="W251" s="29"/>
      <c r="X251" s="89" t="s">
        <v>187</v>
      </c>
      <c r="Y251" s="8"/>
      <c r="Z251" s="8"/>
      <c r="AA251" s="8"/>
      <c r="AB251" s="8"/>
      <c r="AC251" s="8"/>
    </row>
    <row r="252" spans="1:29" s="64" customFormat="1" ht="28.5" customHeight="1" x14ac:dyDescent="0.2">
      <c r="A252" s="50" t="s">
        <v>14</v>
      </c>
      <c r="B252" s="94" t="s">
        <v>136</v>
      </c>
      <c r="C252" s="51" t="s">
        <v>36</v>
      </c>
      <c r="D252" s="52"/>
      <c r="E252" s="53" t="s">
        <v>174</v>
      </c>
      <c r="F252" s="54"/>
      <c r="G252" s="52"/>
      <c r="H252" s="55"/>
      <c r="I252" s="56"/>
      <c r="J252" s="55"/>
      <c r="K252" s="57"/>
      <c r="L252" s="58"/>
      <c r="M252" s="59"/>
      <c r="N252" s="60"/>
      <c r="O252" s="61"/>
      <c r="P252" s="58"/>
      <c r="Q252" s="59"/>
      <c r="R252" s="60"/>
      <c r="S252" s="59"/>
      <c r="T252" s="62"/>
      <c r="U252" s="63"/>
      <c r="V252" s="62"/>
    </row>
    <row r="253" spans="1:29" s="85" customFormat="1" ht="28.5" customHeight="1" x14ac:dyDescent="0.2">
      <c r="A253" s="70" t="s">
        <v>14</v>
      </c>
      <c r="B253" s="71">
        <v>9</v>
      </c>
      <c r="C253" s="72" t="s">
        <v>36</v>
      </c>
      <c r="D253" s="75" t="s">
        <v>139</v>
      </c>
      <c r="E253" s="74" t="s">
        <v>175</v>
      </c>
      <c r="F253" s="75"/>
      <c r="G253" s="73"/>
      <c r="H253" s="76"/>
      <c r="I253" s="77"/>
      <c r="J253" s="76"/>
      <c r="K253" s="78"/>
      <c r="L253" s="79"/>
      <c r="M253" s="80"/>
      <c r="N253" s="81"/>
      <c r="O253" s="82"/>
      <c r="P253" s="79"/>
      <c r="Q253" s="80"/>
      <c r="R253" s="81"/>
      <c r="S253" s="80"/>
      <c r="T253" s="83"/>
      <c r="U253" s="84"/>
      <c r="V253" s="83"/>
    </row>
    <row r="254" spans="1:29" s="69" customFormat="1" ht="28.5" customHeight="1" x14ac:dyDescent="0.2">
      <c r="A254" s="66" t="s">
        <v>8</v>
      </c>
      <c r="B254" s="33" t="s">
        <v>238</v>
      </c>
      <c r="C254" s="23" t="s">
        <v>36</v>
      </c>
      <c r="D254" s="23" t="s">
        <v>139</v>
      </c>
      <c r="E254" s="24" t="s">
        <v>178</v>
      </c>
      <c r="F254" s="36"/>
      <c r="G254" s="37" t="s">
        <v>119</v>
      </c>
      <c r="H254" s="38">
        <f>(12.5+12.5+183.5+170.1+3.6+3.6+11.5+25.8+14.8+16.4)*1.103</f>
        <v>501.09290000000004</v>
      </c>
      <c r="I254" s="25"/>
      <c r="J254" s="34"/>
      <c r="K254" s="32"/>
      <c r="L254" s="26"/>
      <c r="M254" s="67"/>
      <c r="N254" s="28"/>
      <c r="O254" s="67"/>
      <c r="P254" s="26"/>
      <c r="Q254" s="67"/>
      <c r="R254" s="28"/>
      <c r="S254" s="27"/>
      <c r="T254" s="28"/>
      <c r="U254" s="27"/>
      <c r="V254" s="28"/>
      <c r="W254" s="68"/>
      <c r="X254" s="68"/>
      <c r="Y254" s="88"/>
      <c r="Z254" s="88"/>
      <c r="AA254" s="68" t="s">
        <v>205</v>
      </c>
      <c r="AB254" s="88"/>
      <c r="AC254" s="88"/>
    </row>
    <row r="255" spans="1:29" ht="28.5" hidden="1" customHeight="1" x14ac:dyDescent="0.2">
      <c r="A255" s="13" t="s">
        <v>9</v>
      </c>
      <c r="B255" s="111"/>
      <c r="C255" s="93" t="s">
        <v>36</v>
      </c>
      <c r="D255" s="40" t="s">
        <v>139</v>
      </c>
      <c r="E255" s="41" t="s">
        <v>171</v>
      </c>
      <c r="F255" s="40"/>
      <c r="G255" s="42" t="s">
        <v>119</v>
      </c>
      <c r="H255" s="43">
        <f>H254*1.2</f>
        <v>601.31148000000007</v>
      </c>
      <c r="I255" s="44"/>
      <c r="J255" s="45"/>
      <c r="K255" s="46"/>
      <c r="L255" s="17"/>
      <c r="M255" s="47"/>
      <c r="N255" s="18"/>
      <c r="O255" s="47"/>
      <c r="P255" s="17"/>
      <c r="Q255" s="47"/>
      <c r="R255" s="18"/>
      <c r="S255" s="48"/>
      <c r="T255" s="49"/>
      <c r="U255" s="48"/>
      <c r="V255" s="49"/>
      <c r="W255" s="29"/>
      <c r="X255" s="89" t="s">
        <v>172</v>
      </c>
      <c r="Y255" s="8"/>
      <c r="Z255" s="8"/>
      <c r="AA255" s="8"/>
      <c r="AB255" s="8"/>
      <c r="AC255" s="8"/>
    </row>
    <row r="256" spans="1:29" ht="28.5" hidden="1" customHeight="1" x14ac:dyDescent="0.2">
      <c r="A256" s="13" t="s">
        <v>9</v>
      </c>
      <c r="B256" s="111"/>
      <c r="C256" s="93" t="s">
        <v>36</v>
      </c>
      <c r="D256" s="40" t="s">
        <v>139</v>
      </c>
      <c r="E256" s="41" t="s">
        <v>179</v>
      </c>
      <c r="F256" s="40"/>
      <c r="G256" s="42" t="s">
        <v>193</v>
      </c>
      <c r="H256" s="43">
        <f>H255/1.6*1.15</f>
        <v>432.19262624999999</v>
      </c>
      <c r="I256" s="44"/>
      <c r="J256" s="45"/>
      <c r="K256" s="46"/>
      <c r="L256" s="17"/>
      <c r="M256" s="47"/>
      <c r="N256" s="18"/>
      <c r="O256" s="47"/>
      <c r="P256" s="17"/>
      <c r="Q256" s="47"/>
      <c r="R256" s="18"/>
      <c r="S256" s="48"/>
      <c r="T256" s="49"/>
      <c r="U256" s="48"/>
      <c r="V256" s="49"/>
      <c r="W256" s="29"/>
      <c r="X256" s="89" t="s">
        <v>198</v>
      </c>
      <c r="Y256" s="8"/>
      <c r="Z256" s="8"/>
      <c r="AA256" s="8"/>
      <c r="AB256" s="8"/>
      <c r="AC256" s="8"/>
    </row>
    <row r="257" spans="1:29" ht="28.5" hidden="1" customHeight="1" x14ac:dyDescent="0.2">
      <c r="A257" s="13" t="s">
        <v>9</v>
      </c>
      <c r="B257" s="111"/>
      <c r="C257" s="93" t="s">
        <v>36</v>
      </c>
      <c r="D257" s="40" t="s">
        <v>139</v>
      </c>
      <c r="E257" s="41" t="s">
        <v>180</v>
      </c>
      <c r="F257" s="40"/>
      <c r="G257" s="42" t="s">
        <v>193</v>
      </c>
      <c r="H257" s="43">
        <f>84.35*1.15</f>
        <v>97.002499999999984</v>
      </c>
      <c r="I257" s="44"/>
      <c r="J257" s="45"/>
      <c r="K257" s="46"/>
      <c r="L257" s="17"/>
      <c r="M257" s="47"/>
      <c r="N257" s="18"/>
      <c r="O257" s="47"/>
      <c r="P257" s="17"/>
      <c r="Q257" s="47"/>
      <c r="R257" s="18"/>
      <c r="S257" s="48"/>
      <c r="T257" s="49"/>
      <c r="U257" s="48"/>
      <c r="V257" s="49"/>
      <c r="W257" s="29"/>
      <c r="X257" s="89" t="s">
        <v>198</v>
      </c>
      <c r="Y257" s="8"/>
      <c r="Z257" s="8"/>
      <c r="AA257" s="8"/>
      <c r="AB257" s="8"/>
      <c r="AC257" s="8"/>
    </row>
    <row r="258" spans="1:29" s="69" customFormat="1" ht="28.5" customHeight="1" x14ac:dyDescent="0.2">
      <c r="A258" s="66" t="s">
        <v>8</v>
      </c>
      <c r="B258" s="33" t="s">
        <v>239</v>
      </c>
      <c r="C258" s="23" t="s">
        <v>36</v>
      </c>
      <c r="D258" s="23" t="s">
        <v>139</v>
      </c>
      <c r="E258" s="24" t="s">
        <v>362</v>
      </c>
      <c r="F258" s="36"/>
      <c r="G258" s="37" t="s">
        <v>119</v>
      </c>
      <c r="H258" s="38">
        <f>(12.5+12.5+183.5+170.1+3.6+3.6+11.5+25.8+14.8+16.4)*1.103</f>
        <v>501.09290000000004</v>
      </c>
      <c r="I258" s="25"/>
      <c r="J258" s="34"/>
      <c r="K258" s="32"/>
      <c r="L258" s="26"/>
      <c r="M258" s="67"/>
      <c r="N258" s="28"/>
      <c r="O258" s="67"/>
      <c r="P258" s="26"/>
      <c r="Q258" s="67"/>
      <c r="R258" s="28"/>
      <c r="S258" s="27"/>
      <c r="T258" s="28"/>
      <c r="U258" s="27"/>
      <c r="V258" s="28"/>
      <c r="W258" s="68"/>
      <c r="X258" s="114" t="s">
        <v>512</v>
      </c>
      <c r="Y258" s="114"/>
      <c r="Z258" s="114"/>
      <c r="AA258" s="68" t="s">
        <v>205</v>
      </c>
      <c r="AB258" s="88"/>
      <c r="AC258" s="88"/>
    </row>
    <row r="259" spans="1:29" ht="28.5" hidden="1" customHeight="1" x14ac:dyDescent="0.2">
      <c r="A259" s="13" t="s">
        <v>9</v>
      </c>
      <c r="B259" s="111"/>
      <c r="C259" s="93" t="s">
        <v>36</v>
      </c>
      <c r="D259" s="40" t="s">
        <v>139</v>
      </c>
      <c r="E259" s="41" t="s">
        <v>190</v>
      </c>
      <c r="F259" s="40"/>
      <c r="G259" s="42" t="s">
        <v>119</v>
      </c>
      <c r="H259" s="43">
        <f>H258*1.2</f>
        <v>601.31148000000007</v>
      </c>
      <c r="I259" s="44"/>
      <c r="J259" s="45"/>
      <c r="K259" s="46"/>
      <c r="L259" s="17"/>
      <c r="M259" s="47"/>
      <c r="N259" s="18"/>
      <c r="O259" s="47"/>
      <c r="P259" s="17"/>
      <c r="Q259" s="47"/>
      <c r="R259" s="18"/>
      <c r="S259" s="48"/>
      <c r="T259" s="49"/>
      <c r="U259" s="48"/>
      <c r="V259" s="49"/>
      <c r="W259" s="29"/>
      <c r="X259" s="89" t="s">
        <v>192</v>
      </c>
      <c r="Y259" s="8"/>
      <c r="Z259" s="8"/>
      <c r="AA259" s="8"/>
      <c r="AB259" s="8"/>
      <c r="AC259" s="8"/>
    </row>
    <row r="260" spans="1:29" ht="28.5" hidden="1" customHeight="1" x14ac:dyDescent="0.2">
      <c r="A260" s="13" t="s">
        <v>9</v>
      </c>
      <c r="B260" s="111"/>
      <c r="C260" s="93" t="s">
        <v>36</v>
      </c>
      <c r="D260" s="40" t="s">
        <v>139</v>
      </c>
      <c r="E260" s="41" t="s">
        <v>199</v>
      </c>
      <c r="F260" s="40"/>
      <c r="G260" s="42" t="s">
        <v>193</v>
      </c>
      <c r="H260" s="43">
        <f>32.6+5+3.6</f>
        <v>41.2</v>
      </c>
      <c r="I260" s="44"/>
      <c r="J260" s="45"/>
      <c r="K260" s="46"/>
      <c r="L260" s="17"/>
      <c r="M260" s="47"/>
      <c r="N260" s="18"/>
      <c r="O260" s="47"/>
      <c r="P260" s="17"/>
      <c r="Q260" s="47"/>
      <c r="R260" s="18"/>
      <c r="S260" s="48"/>
      <c r="T260" s="49"/>
      <c r="U260" s="48"/>
      <c r="V260" s="49"/>
      <c r="W260" s="29"/>
      <c r="X260" s="89"/>
      <c r="Y260" s="8"/>
      <c r="Z260" s="8"/>
      <c r="AA260" s="8"/>
      <c r="AB260" s="8"/>
      <c r="AC260" s="8"/>
    </row>
    <row r="261" spans="1:29" ht="28.5" hidden="1" customHeight="1" x14ac:dyDescent="0.2">
      <c r="A261" s="13" t="s">
        <v>9</v>
      </c>
      <c r="B261" s="111"/>
      <c r="C261" s="93" t="s">
        <v>36</v>
      </c>
      <c r="D261" s="40" t="s">
        <v>139</v>
      </c>
      <c r="E261" s="41" t="s">
        <v>291</v>
      </c>
      <c r="F261" s="40"/>
      <c r="G261" s="42" t="s">
        <v>193</v>
      </c>
      <c r="H261" s="43">
        <v>10.180999999999999</v>
      </c>
      <c r="I261" s="44"/>
      <c r="J261" s="45"/>
      <c r="K261" s="46"/>
      <c r="L261" s="17"/>
      <c r="M261" s="47"/>
      <c r="N261" s="18"/>
      <c r="O261" s="47"/>
      <c r="P261" s="17"/>
      <c r="Q261" s="47"/>
      <c r="R261" s="18"/>
      <c r="S261" s="48"/>
      <c r="T261" s="49"/>
      <c r="U261" s="48"/>
      <c r="V261" s="49"/>
      <c r="W261" s="29"/>
      <c r="X261" s="89"/>
      <c r="Y261" s="8"/>
      <c r="Z261" s="8"/>
      <c r="AA261" s="8"/>
      <c r="AB261" s="8"/>
      <c r="AC261" s="8"/>
    </row>
    <row r="262" spans="1:29" s="69" customFormat="1" ht="28.5" customHeight="1" x14ac:dyDescent="0.2">
      <c r="A262" s="66" t="s">
        <v>8</v>
      </c>
      <c r="B262" s="33" t="s">
        <v>240</v>
      </c>
      <c r="C262" s="23" t="s">
        <v>36</v>
      </c>
      <c r="D262" s="23" t="s">
        <v>139</v>
      </c>
      <c r="E262" s="24" t="s">
        <v>361</v>
      </c>
      <c r="F262" s="36"/>
      <c r="G262" s="37" t="s">
        <v>119</v>
      </c>
      <c r="H262" s="38">
        <f>0.5*84.35</f>
        <v>42.174999999999997</v>
      </c>
      <c r="I262" s="25"/>
      <c r="J262" s="25"/>
      <c r="K262" s="97"/>
      <c r="L262" s="98"/>
      <c r="M262" s="99"/>
      <c r="N262" s="100"/>
      <c r="O262" s="99"/>
      <c r="P262" s="98"/>
      <c r="Q262" s="99"/>
      <c r="R262" s="100"/>
      <c r="S262" s="101"/>
      <c r="T262" s="100"/>
      <c r="U262" s="101"/>
      <c r="V262" s="100"/>
      <c r="W262" s="102"/>
      <c r="X262" s="114" t="s">
        <v>512</v>
      </c>
      <c r="Y262" s="114"/>
      <c r="Z262" s="114"/>
      <c r="AA262" s="88"/>
      <c r="AB262" s="88"/>
      <c r="AC262" s="88"/>
    </row>
    <row r="263" spans="1:29" ht="28.5" hidden="1" customHeight="1" x14ac:dyDescent="0.2">
      <c r="A263" s="13" t="s">
        <v>9</v>
      </c>
      <c r="B263" s="111"/>
      <c r="C263" s="93" t="s">
        <v>36</v>
      </c>
      <c r="D263" s="40" t="s">
        <v>139</v>
      </c>
      <c r="E263" s="41" t="s">
        <v>189</v>
      </c>
      <c r="F263" s="103"/>
      <c r="G263" s="42" t="s">
        <v>119</v>
      </c>
      <c r="H263" s="43">
        <f>H262*1.15</f>
        <v>48.501249999999992</v>
      </c>
      <c r="I263" s="44"/>
      <c r="J263" s="44"/>
      <c r="K263" s="104"/>
      <c r="L263" s="105"/>
      <c r="M263" s="106"/>
      <c r="N263" s="107"/>
      <c r="O263" s="106"/>
      <c r="P263" s="105"/>
      <c r="Q263" s="106"/>
      <c r="R263" s="107"/>
      <c r="S263" s="108"/>
      <c r="T263" s="109"/>
      <c r="U263" s="108"/>
      <c r="V263" s="109"/>
      <c r="W263" s="110"/>
      <c r="X263" s="89" t="s">
        <v>198</v>
      </c>
      <c r="Y263" s="8"/>
      <c r="Z263" s="8"/>
      <c r="AA263" s="8"/>
      <c r="AB263" s="8"/>
      <c r="AC263" s="8"/>
    </row>
    <row r="264" spans="1:29" ht="28.5" hidden="1" customHeight="1" x14ac:dyDescent="0.2">
      <c r="A264" s="13" t="s">
        <v>9</v>
      </c>
      <c r="B264" s="111"/>
      <c r="C264" s="93" t="s">
        <v>36</v>
      </c>
      <c r="D264" s="40" t="s">
        <v>139</v>
      </c>
      <c r="E264" s="41" t="s">
        <v>195</v>
      </c>
      <c r="F264" s="103"/>
      <c r="G264" s="42" t="s">
        <v>193</v>
      </c>
      <c r="H264" s="43">
        <f>84.35*1.15</f>
        <v>97.002499999999984</v>
      </c>
      <c r="I264" s="44"/>
      <c r="J264" s="44"/>
      <c r="K264" s="104"/>
      <c r="L264" s="105"/>
      <c r="M264" s="106"/>
      <c r="N264" s="107"/>
      <c r="O264" s="106"/>
      <c r="P264" s="105"/>
      <c r="Q264" s="106"/>
      <c r="R264" s="107"/>
      <c r="S264" s="108"/>
      <c r="T264" s="109"/>
      <c r="U264" s="108"/>
      <c r="V264" s="109"/>
      <c r="W264" s="110"/>
      <c r="X264" s="89" t="s">
        <v>198</v>
      </c>
      <c r="Y264" s="8"/>
      <c r="Z264" s="8"/>
      <c r="AA264" s="8"/>
      <c r="AB264" s="8"/>
      <c r="AC264" s="8"/>
    </row>
    <row r="265" spans="1:29" ht="28.5" hidden="1" customHeight="1" x14ac:dyDescent="0.2">
      <c r="A265" s="13" t="s">
        <v>9</v>
      </c>
      <c r="B265" s="111"/>
      <c r="C265" s="93" t="s">
        <v>36</v>
      </c>
      <c r="D265" s="40" t="s">
        <v>139</v>
      </c>
      <c r="E265" s="41" t="s">
        <v>196</v>
      </c>
      <c r="F265" s="103"/>
      <c r="G265" s="42" t="s">
        <v>193</v>
      </c>
      <c r="H265" s="43">
        <f>84.35*1.15</f>
        <v>97.002499999999984</v>
      </c>
      <c r="I265" s="44"/>
      <c r="J265" s="44"/>
      <c r="K265" s="104"/>
      <c r="L265" s="105"/>
      <c r="M265" s="106"/>
      <c r="N265" s="107"/>
      <c r="O265" s="106"/>
      <c r="P265" s="105"/>
      <c r="Q265" s="106"/>
      <c r="R265" s="107"/>
      <c r="S265" s="108"/>
      <c r="T265" s="109"/>
      <c r="U265" s="108"/>
      <c r="V265" s="109"/>
      <c r="W265" s="110"/>
      <c r="X265" s="89" t="s">
        <v>198</v>
      </c>
      <c r="Y265" s="8"/>
      <c r="Z265" s="8"/>
      <c r="AA265" s="8"/>
      <c r="AB265" s="8"/>
      <c r="AC265" s="8"/>
    </row>
    <row r="266" spans="1:29" ht="28.5" hidden="1" customHeight="1" x14ac:dyDescent="0.2">
      <c r="A266" s="13" t="s">
        <v>9</v>
      </c>
      <c r="B266" s="111"/>
      <c r="C266" s="93" t="s">
        <v>36</v>
      </c>
      <c r="D266" s="40" t="s">
        <v>139</v>
      </c>
      <c r="E266" s="41" t="s">
        <v>197</v>
      </c>
      <c r="F266" s="103"/>
      <c r="G266" s="42" t="s">
        <v>193</v>
      </c>
      <c r="H266" s="43">
        <f>84.35*1.15</f>
        <v>97.002499999999984</v>
      </c>
      <c r="I266" s="44"/>
      <c r="J266" s="44"/>
      <c r="K266" s="104"/>
      <c r="L266" s="105"/>
      <c r="M266" s="106"/>
      <c r="N266" s="107"/>
      <c r="O266" s="106"/>
      <c r="P266" s="105"/>
      <c r="Q266" s="106"/>
      <c r="R266" s="107"/>
      <c r="S266" s="108"/>
      <c r="T266" s="109"/>
      <c r="U266" s="108"/>
      <c r="V266" s="109"/>
      <c r="W266" s="110"/>
      <c r="X266" s="89" t="s">
        <v>198</v>
      </c>
      <c r="Y266" s="8"/>
      <c r="Z266" s="8"/>
      <c r="AA266" s="8"/>
      <c r="AB266" s="8"/>
      <c r="AC266" s="8"/>
    </row>
    <row r="267" spans="1:29" s="85" customFormat="1" ht="28.5" customHeight="1" x14ac:dyDescent="0.2">
      <c r="A267" s="70" t="s">
        <v>14</v>
      </c>
      <c r="B267" s="71">
        <v>10</v>
      </c>
      <c r="C267" s="72" t="s">
        <v>36</v>
      </c>
      <c r="D267" s="75" t="s">
        <v>139</v>
      </c>
      <c r="E267" s="74" t="s">
        <v>224</v>
      </c>
      <c r="F267" s="75"/>
      <c r="G267" s="73"/>
      <c r="H267" s="76"/>
      <c r="I267" s="77"/>
      <c r="J267" s="76"/>
      <c r="K267" s="78"/>
      <c r="L267" s="79"/>
      <c r="M267" s="80"/>
      <c r="N267" s="81"/>
      <c r="O267" s="82"/>
      <c r="P267" s="79"/>
      <c r="Q267" s="80"/>
      <c r="R267" s="81"/>
      <c r="S267" s="80"/>
      <c r="T267" s="83"/>
      <c r="U267" s="84"/>
      <c r="V267" s="83"/>
    </row>
    <row r="268" spans="1:29" s="69" customFormat="1" ht="28.5" customHeight="1" x14ac:dyDescent="0.2">
      <c r="A268" s="66" t="s">
        <v>8</v>
      </c>
      <c r="B268" s="33" t="s">
        <v>241</v>
      </c>
      <c r="C268" s="23" t="s">
        <v>36</v>
      </c>
      <c r="D268" s="23" t="s">
        <v>139</v>
      </c>
      <c r="E268" s="24" t="s">
        <v>178</v>
      </c>
      <c r="F268" s="36"/>
      <c r="G268" s="37" t="s">
        <v>119</v>
      </c>
      <c r="H268" s="38">
        <f>(15.65+15.65+6.56+6.56+3.6+3.6+18.66+18.66+14.31+14.31+15.05+15.05+15.05+15.05+71.43+25.75+196.6+190.28)*1.103</f>
        <v>729.98746000000006</v>
      </c>
      <c r="I268" s="25"/>
      <c r="J268" s="34"/>
      <c r="K268" s="32"/>
      <c r="L268" s="26"/>
      <c r="M268" s="67"/>
      <c r="N268" s="28"/>
      <c r="O268" s="67"/>
      <c r="P268" s="26"/>
      <c r="Q268" s="67"/>
      <c r="R268" s="28"/>
      <c r="S268" s="27"/>
      <c r="T268" s="28"/>
      <c r="U268" s="27"/>
      <c r="V268" s="28"/>
      <c r="W268" s="68"/>
      <c r="X268" s="68"/>
      <c r="Y268" s="88"/>
      <c r="Z268" s="88"/>
      <c r="AA268" s="68" t="s">
        <v>205</v>
      </c>
      <c r="AB268" s="88"/>
      <c r="AC268" s="88"/>
    </row>
    <row r="269" spans="1:29" ht="28.5" hidden="1" customHeight="1" x14ac:dyDescent="0.2">
      <c r="A269" s="13" t="s">
        <v>9</v>
      </c>
      <c r="B269" s="39"/>
      <c r="C269" s="93" t="s">
        <v>36</v>
      </c>
      <c r="D269" s="40" t="s">
        <v>139</v>
      </c>
      <c r="E269" s="41" t="s">
        <v>171</v>
      </c>
      <c r="F269" s="40"/>
      <c r="G269" s="42" t="s">
        <v>119</v>
      </c>
      <c r="H269" s="43">
        <f>H268*1.2</f>
        <v>875.98495200000002</v>
      </c>
      <c r="I269" s="44"/>
      <c r="J269" s="45"/>
      <c r="K269" s="46"/>
      <c r="L269" s="17"/>
      <c r="M269" s="47"/>
      <c r="N269" s="18"/>
      <c r="O269" s="47"/>
      <c r="P269" s="17"/>
      <c r="Q269" s="47"/>
      <c r="R269" s="18"/>
      <c r="S269" s="48"/>
      <c r="T269" s="49"/>
      <c r="U269" s="48"/>
      <c r="V269" s="49"/>
      <c r="W269" s="29"/>
      <c r="X269" s="89" t="s">
        <v>172</v>
      </c>
      <c r="Y269" s="8"/>
      <c r="Z269" s="8"/>
      <c r="AA269" s="8"/>
      <c r="AB269" s="8"/>
      <c r="AC269" s="8"/>
    </row>
    <row r="270" spans="1:29" ht="28.5" hidden="1" customHeight="1" x14ac:dyDescent="0.2">
      <c r="A270" s="13" t="s">
        <v>9</v>
      </c>
      <c r="B270" s="39"/>
      <c r="C270" s="93" t="s">
        <v>36</v>
      </c>
      <c r="D270" s="40" t="s">
        <v>139</v>
      </c>
      <c r="E270" s="41" t="s">
        <v>179</v>
      </c>
      <c r="F270" s="40"/>
      <c r="G270" s="42" t="s">
        <v>193</v>
      </c>
      <c r="H270" s="43">
        <f>H269/1.6*1.15</f>
        <v>629.61418424999988</v>
      </c>
      <c r="I270" s="44"/>
      <c r="J270" s="45"/>
      <c r="K270" s="46"/>
      <c r="L270" s="17"/>
      <c r="M270" s="47"/>
      <c r="N270" s="18"/>
      <c r="O270" s="47"/>
      <c r="P270" s="17"/>
      <c r="Q270" s="47"/>
      <c r="R270" s="18"/>
      <c r="S270" s="48"/>
      <c r="T270" s="49"/>
      <c r="U270" s="48"/>
      <c r="V270" s="49"/>
      <c r="W270" s="29"/>
      <c r="X270" s="89" t="s">
        <v>198</v>
      </c>
      <c r="Y270" s="8"/>
      <c r="Z270" s="8"/>
      <c r="AA270" s="8"/>
      <c r="AB270" s="8"/>
      <c r="AC270" s="8"/>
    </row>
    <row r="271" spans="1:29" ht="28.5" hidden="1" customHeight="1" x14ac:dyDescent="0.2">
      <c r="A271" s="13" t="s">
        <v>9</v>
      </c>
      <c r="B271" s="39"/>
      <c r="C271" s="93" t="s">
        <v>36</v>
      </c>
      <c r="D271" s="40" t="s">
        <v>139</v>
      </c>
      <c r="E271" s="41" t="s">
        <v>180</v>
      </c>
      <c r="F271" s="40"/>
      <c r="G271" s="42" t="s">
        <v>193</v>
      </c>
      <c r="H271" s="43">
        <f>(32.02+66.32)*1.15</f>
        <v>113.09099999999999</v>
      </c>
      <c r="I271" s="44"/>
      <c r="J271" s="45"/>
      <c r="K271" s="46"/>
      <c r="L271" s="17"/>
      <c r="M271" s="47"/>
      <c r="N271" s="18"/>
      <c r="O271" s="47"/>
      <c r="P271" s="17"/>
      <c r="Q271" s="47"/>
      <c r="R271" s="18"/>
      <c r="S271" s="48"/>
      <c r="T271" s="49"/>
      <c r="U271" s="48"/>
      <c r="V271" s="49"/>
      <c r="W271" s="29"/>
      <c r="X271" s="89" t="s">
        <v>198</v>
      </c>
      <c r="Y271" s="8"/>
      <c r="Z271" s="8"/>
      <c r="AA271" s="8"/>
      <c r="AB271" s="8"/>
      <c r="AC271" s="8"/>
    </row>
    <row r="272" spans="1:29" s="69" customFormat="1" ht="28.5" customHeight="1" x14ac:dyDescent="0.2">
      <c r="A272" s="66" t="s">
        <v>8</v>
      </c>
      <c r="B272" s="33" t="s">
        <v>242</v>
      </c>
      <c r="C272" s="23" t="s">
        <v>36</v>
      </c>
      <c r="D272" s="23" t="s">
        <v>139</v>
      </c>
      <c r="E272" s="24" t="s">
        <v>362</v>
      </c>
      <c r="F272" s="36"/>
      <c r="G272" s="37" t="s">
        <v>119</v>
      </c>
      <c r="H272" s="38">
        <f>(15.65+15.65+6.56+6.56+3.6+3.6+18.66+18.66+14.31+14.31+15.05+15.05+15.05+15.05+71.43+25.75+196.6+190.28)*1.103</f>
        <v>729.98746000000006</v>
      </c>
      <c r="I272" s="25"/>
      <c r="J272" s="34"/>
      <c r="K272" s="32"/>
      <c r="L272" s="26"/>
      <c r="M272" s="67"/>
      <c r="N272" s="28"/>
      <c r="O272" s="67"/>
      <c r="P272" s="26"/>
      <c r="Q272" s="67"/>
      <c r="R272" s="28"/>
      <c r="S272" s="27"/>
      <c r="T272" s="28"/>
      <c r="U272" s="27"/>
      <c r="V272" s="28"/>
      <c r="W272" s="68"/>
      <c r="X272" s="114" t="s">
        <v>512</v>
      </c>
      <c r="Y272" s="114"/>
      <c r="Z272" s="114"/>
      <c r="AA272" s="68" t="s">
        <v>205</v>
      </c>
      <c r="AB272" s="88"/>
      <c r="AC272" s="88"/>
    </row>
    <row r="273" spans="1:29" s="4" customFormat="1" ht="28.5" hidden="1" customHeight="1" x14ac:dyDescent="0.2">
      <c r="A273" s="86" t="s">
        <v>9</v>
      </c>
      <c r="B273" s="87"/>
      <c r="C273" s="93" t="s">
        <v>36</v>
      </c>
      <c r="D273" s="40" t="s">
        <v>139</v>
      </c>
      <c r="E273" s="41" t="s">
        <v>190</v>
      </c>
      <c r="F273" s="40"/>
      <c r="G273" s="42" t="s">
        <v>119</v>
      </c>
      <c r="H273" s="43">
        <f>H272*1.2</f>
        <v>875.98495200000002</v>
      </c>
      <c r="I273" s="44"/>
      <c r="J273" s="45"/>
      <c r="K273" s="46"/>
      <c r="L273" s="17"/>
      <c r="M273" s="47"/>
      <c r="N273" s="18"/>
      <c r="O273" s="47"/>
      <c r="P273" s="17"/>
      <c r="Q273" s="47"/>
      <c r="R273" s="18"/>
      <c r="S273" s="48"/>
      <c r="T273" s="49"/>
      <c r="U273" s="48"/>
      <c r="V273" s="49"/>
      <c r="W273" s="29"/>
      <c r="X273" s="89" t="s">
        <v>192</v>
      </c>
    </row>
    <row r="274" spans="1:29" s="4" customFormat="1" ht="28.5" hidden="1" customHeight="1" x14ac:dyDescent="0.2">
      <c r="A274" s="86" t="s">
        <v>9</v>
      </c>
      <c r="B274" s="87"/>
      <c r="C274" s="93" t="s">
        <v>36</v>
      </c>
      <c r="D274" s="40" t="s">
        <v>139</v>
      </c>
      <c r="E274" s="41" t="s">
        <v>199</v>
      </c>
      <c r="F274" s="40"/>
      <c r="G274" s="42" t="s">
        <v>193</v>
      </c>
      <c r="H274" s="43">
        <f>6.6+5.4+5.64+5.64+3.7+3.6+5.68+39.67</f>
        <v>75.930000000000007</v>
      </c>
      <c r="I274" s="44"/>
      <c r="J274" s="45"/>
      <c r="K274" s="46"/>
      <c r="L274" s="17"/>
      <c r="M274" s="47"/>
      <c r="N274" s="18"/>
      <c r="O274" s="47"/>
      <c r="P274" s="17"/>
      <c r="Q274" s="47"/>
      <c r="R274" s="18"/>
      <c r="S274" s="48"/>
      <c r="T274" s="49"/>
      <c r="U274" s="48"/>
      <c r="V274" s="49"/>
      <c r="W274" s="29"/>
      <c r="X274" s="89"/>
    </row>
    <row r="275" spans="1:29" ht="28.5" hidden="1" customHeight="1" x14ac:dyDescent="0.2">
      <c r="A275" s="13" t="s">
        <v>9</v>
      </c>
      <c r="B275" s="111"/>
      <c r="C275" s="93" t="s">
        <v>36</v>
      </c>
      <c r="D275" s="40" t="s">
        <v>139</v>
      </c>
      <c r="E275" s="41" t="s">
        <v>291</v>
      </c>
      <c r="F275" s="40"/>
      <c r="G275" s="42" t="s">
        <v>193</v>
      </c>
      <c r="H275" s="43">
        <v>15.78</v>
      </c>
      <c r="I275" s="44"/>
      <c r="J275" s="45"/>
      <c r="K275" s="46"/>
      <c r="L275" s="17"/>
      <c r="M275" s="47"/>
      <c r="N275" s="18"/>
      <c r="O275" s="47"/>
      <c r="P275" s="17"/>
      <c r="Q275" s="47"/>
      <c r="R275" s="18"/>
      <c r="S275" s="48"/>
      <c r="T275" s="49"/>
      <c r="U275" s="48"/>
      <c r="V275" s="49"/>
      <c r="W275" s="29"/>
      <c r="X275" s="89"/>
      <c r="Y275" s="8"/>
      <c r="Z275" s="8"/>
      <c r="AA275" s="8"/>
      <c r="AB275" s="8"/>
      <c r="AC275" s="8"/>
    </row>
    <row r="276" spans="1:29" s="69" customFormat="1" ht="28.5" customHeight="1" x14ac:dyDescent="0.2">
      <c r="A276" s="66" t="s">
        <v>8</v>
      </c>
      <c r="B276" s="33" t="s">
        <v>243</v>
      </c>
      <c r="C276" s="23" t="s">
        <v>36</v>
      </c>
      <c r="D276" s="23" t="s">
        <v>139</v>
      </c>
      <c r="E276" s="24" t="s">
        <v>361</v>
      </c>
      <c r="F276" s="36"/>
      <c r="G276" s="37" t="s">
        <v>119</v>
      </c>
      <c r="H276" s="38">
        <f>0.5*(32.02+66.32)</f>
        <v>49.17</v>
      </c>
      <c r="I276" s="25"/>
      <c r="J276" s="25"/>
      <c r="K276" s="97"/>
      <c r="L276" s="98"/>
      <c r="M276" s="99"/>
      <c r="N276" s="100"/>
      <c r="O276" s="99"/>
      <c r="P276" s="98"/>
      <c r="Q276" s="99"/>
      <c r="R276" s="100"/>
      <c r="S276" s="101"/>
      <c r="T276" s="100"/>
      <c r="U276" s="101"/>
      <c r="V276" s="100"/>
      <c r="W276" s="102"/>
      <c r="X276" s="114" t="s">
        <v>512</v>
      </c>
      <c r="Y276" s="114"/>
      <c r="Z276" s="114"/>
      <c r="AA276" s="88"/>
      <c r="AB276" s="88"/>
      <c r="AC276" s="88"/>
    </row>
    <row r="277" spans="1:29" s="4" customFormat="1" ht="28.5" hidden="1" customHeight="1" x14ac:dyDescent="0.2">
      <c r="A277" s="86" t="s">
        <v>9</v>
      </c>
      <c r="B277" s="87"/>
      <c r="C277" s="93" t="s">
        <v>36</v>
      </c>
      <c r="D277" s="40" t="s">
        <v>139</v>
      </c>
      <c r="E277" s="41" t="s">
        <v>189</v>
      </c>
      <c r="F277" s="103"/>
      <c r="G277" s="42" t="s">
        <v>119</v>
      </c>
      <c r="H277" s="43">
        <f>H276*1.15</f>
        <v>56.545499999999997</v>
      </c>
      <c r="I277" s="44"/>
      <c r="J277" s="44"/>
      <c r="K277" s="104"/>
      <c r="L277" s="105"/>
      <c r="M277" s="106"/>
      <c r="N277" s="107"/>
      <c r="O277" s="106"/>
      <c r="P277" s="105"/>
      <c r="Q277" s="106"/>
      <c r="R277" s="107"/>
      <c r="S277" s="108"/>
      <c r="T277" s="109"/>
      <c r="U277" s="108"/>
      <c r="V277" s="109"/>
      <c r="W277" s="110"/>
      <c r="X277" s="89" t="s">
        <v>198</v>
      </c>
    </row>
    <row r="278" spans="1:29" s="4" customFormat="1" ht="28.5" hidden="1" customHeight="1" x14ac:dyDescent="0.2">
      <c r="A278" s="86" t="s">
        <v>9</v>
      </c>
      <c r="B278" s="87"/>
      <c r="C278" s="93" t="s">
        <v>36</v>
      </c>
      <c r="D278" s="40" t="s">
        <v>139</v>
      </c>
      <c r="E278" s="41" t="s">
        <v>195</v>
      </c>
      <c r="F278" s="103"/>
      <c r="G278" s="42" t="s">
        <v>193</v>
      </c>
      <c r="H278" s="43">
        <f>(32.02+66.32)*1.15</f>
        <v>113.09099999999999</v>
      </c>
      <c r="I278" s="44"/>
      <c r="J278" s="44"/>
      <c r="K278" s="104"/>
      <c r="L278" s="105"/>
      <c r="M278" s="106"/>
      <c r="N278" s="107"/>
      <c r="O278" s="106"/>
      <c r="P278" s="105"/>
      <c r="Q278" s="106"/>
      <c r="R278" s="107"/>
      <c r="S278" s="108"/>
      <c r="T278" s="109"/>
      <c r="U278" s="108"/>
      <c r="V278" s="109"/>
      <c r="W278" s="110"/>
      <c r="X278" s="89" t="s">
        <v>198</v>
      </c>
    </row>
    <row r="279" spans="1:29" s="4" customFormat="1" ht="28.5" hidden="1" customHeight="1" x14ac:dyDescent="0.2">
      <c r="A279" s="86" t="s">
        <v>9</v>
      </c>
      <c r="B279" s="87"/>
      <c r="C279" s="93" t="s">
        <v>36</v>
      </c>
      <c r="D279" s="40" t="s">
        <v>139</v>
      </c>
      <c r="E279" s="41" t="s">
        <v>196</v>
      </c>
      <c r="F279" s="103"/>
      <c r="G279" s="42" t="s">
        <v>193</v>
      </c>
      <c r="H279" s="43">
        <f>(32.02+66.32)*1.15</f>
        <v>113.09099999999999</v>
      </c>
      <c r="I279" s="44"/>
      <c r="J279" s="44"/>
      <c r="K279" s="104"/>
      <c r="L279" s="105"/>
      <c r="M279" s="106"/>
      <c r="N279" s="107"/>
      <c r="O279" s="106"/>
      <c r="P279" s="105"/>
      <c r="Q279" s="106"/>
      <c r="R279" s="107"/>
      <c r="S279" s="108"/>
      <c r="T279" s="109"/>
      <c r="U279" s="108"/>
      <c r="V279" s="109"/>
      <c r="W279" s="110"/>
      <c r="X279" s="89" t="s">
        <v>198</v>
      </c>
    </row>
    <row r="280" spans="1:29" s="4" customFormat="1" ht="28.5" hidden="1" customHeight="1" x14ac:dyDescent="0.2">
      <c r="A280" s="86" t="s">
        <v>9</v>
      </c>
      <c r="B280" s="87"/>
      <c r="C280" s="93" t="s">
        <v>36</v>
      </c>
      <c r="D280" s="40" t="s">
        <v>139</v>
      </c>
      <c r="E280" s="41" t="s">
        <v>197</v>
      </c>
      <c r="F280" s="103"/>
      <c r="G280" s="42" t="s">
        <v>193</v>
      </c>
      <c r="H280" s="43">
        <f>(32.02+66.32)*1.15</f>
        <v>113.09099999999999</v>
      </c>
      <c r="I280" s="44"/>
      <c r="J280" s="44"/>
      <c r="K280" s="104"/>
      <c r="L280" s="105"/>
      <c r="M280" s="106"/>
      <c r="N280" s="107"/>
      <c r="O280" s="106"/>
      <c r="P280" s="105"/>
      <c r="Q280" s="106"/>
      <c r="R280" s="107"/>
      <c r="S280" s="108"/>
      <c r="T280" s="109"/>
      <c r="U280" s="108"/>
      <c r="V280" s="109"/>
      <c r="W280" s="110"/>
      <c r="X280" s="89" t="s">
        <v>198</v>
      </c>
    </row>
    <row r="281" spans="1:29" s="85" customFormat="1" ht="28.5" customHeight="1" x14ac:dyDescent="0.2">
      <c r="A281" s="70" t="s">
        <v>14</v>
      </c>
      <c r="B281" s="71">
        <v>11</v>
      </c>
      <c r="C281" s="72" t="s">
        <v>36</v>
      </c>
      <c r="D281" s="75" t="s">
        <v>139</v>
      </c>
      <c r="E281" s="74" t="s">
        <v>225</v>
      </c>
      <c r="F281" s="75"/>
      <c r="G281" s="73"/>
      <c r="H281" s="76"/>
      <c r="I281" s="77"/>
      <c r="J281" s="76"/>
      <c r="K281" s="78"/>
      <c r="L281" s="79"/>
      <c r="M281" s="80"/>
      <c r="N281" s="81"/>
      <c r="O281" s="82"/>
      <c r="P281" s="79"/>
      <c r="Q281" s="80"/>
      <c r="R281" s="81"/>
      <c r="S281" s="80"/>
      <c r="T281" s="83"/>
      <c r="U281" s="84"/>
      <c r="V281" s="83"/>
    </row>
    <row r="282" spans="1:29" s="69" customFormat="1" ht="28.5" customHeight="1" x14ac:dyDescent="0.2">
      <c r="A282" s="66" t="s">
        <v>8</v>
      </c>
      <c r="B282" s="33" t="s">
        <v>244</v>
      </c>
      <c r="C282" s="23" t="s">
        <v>36</v>
      </c>
      <c r="D282" s="23" t="s">
        <v>139</v>
      </c>
      <c r="E282" s="24" t="s">
        <v>178</v>
      </c>
      <c r="F282" s="36"/>
      <c r="G282" s="37" t="s">
        <v>119</v>
      </c>
      <c r="H282" s="38">
        <f>(23.75+23.75+12.36+12.36+3.6+3.6+231.26+265.8)*1.103</f>
        <v>635.85744</v>
      </c>
      <c r="I282" s="25"/>
      <c r="J282" s="34"/>
      <c r="K282" s="32"/>
      <c r="L282" s="26"/>
      <c r="M282" s="67"/>
      <c r="N282" s="28"/>
      <c r="O282" s="67"/>
      <c r="P282" s="26"/>
      <c r="Q282" s="67"/>
      <c r="R282" s="28"/>
      <c r="S282" s="27"/>
      <c r="T282" s="28"/>
      <c r="U282" s="27"/>
      <c r="V282" s="28"/>
      <c r="W282" s="68"/>
      <c r="X282" s="68"/>
      <c r="Y282" s="88"/>
      <c r="Z282" s="88"/>
      <c r="AA282" s="68" t="s">
        <v>205</v>
      </c>
      <c r="AB282" s="88"/>
      <c r="AC282" s="88"/>
    </row>
    <row r="283" spans="1:29" s="4" customFormat="1" ht="28.5" hidden="1" customHeight="1" x14ac:dyDescent="0.2">
      <c r="A283" s="86" t="s">
        <v>9</v>
      </c>
      <c r="B283" s="87"/>
      <c r="C283" s="93" t="s">
        <v>36</v>
      </c>
      <c r="D283" s="40" t="s">
        <v>139</v>
      </c>
      <c r="E283" s="41" t="s">
        <v>171</v>
      </c>
      <c r="F283" s="40"/>
      <c r="G283" s="42" t="s">
        <v>119</v>
      </c>
      <c r="H283" s="43">
        <f>H282*1.2</f>
        <v>763.02892799999995</v>
      </c>
      <c r="I283" s="44"/>
      <c r="J283" s="45"/>
      <c r="K283" s="46"/>
      <c r="L283" s="17"/>
      <c r="M283" s="47"/>
      <c r="N283" s="18"/>
      <c r="O283" s="47"/>
      <c r="P283" s="17"/>
      <c r="Q283" s="47"/>
      <c r="R283" s="18"/>
      <c r="S283" s="48"/>
      <c r="T283" s="49"/>
      <c r="U283" s="48"/>
      <c r="V283" s="49"/>
      <c r="W283" s="29"/>
      <c r="X283" s="89" t="s">
        <v>172</v>
      </c>
    </row>
    <row r="284" spans="1:29" s="4" customFormat="1" ht="28.5" hidden="1" customHeight="1" x14ac:dyDescent="0.2">
      <c r="A284" s="86" t="s">
        <v>9</v>
      </c>
      <c r="B284" s="87"/>
      <c r="C284" s="93" t="s">
        <v>36</v>
      </c>
      <c r="D284" s="40" t="s">
        <v>139</v>
      </c>
      <c r="E284" s="41" t="s">
        <v>179</v>
      </c>
      <c r="F284" s="40"/>
      <c r="G284" s="42" t="s">
        <v>193</v>
      </c>
      <c r="H284" s="43">
        <f>H283/1.6*1.15</f>
        <v>548.42704199999991</v>
      </c>
      <c r="I284" s="44"/>
      <c r="J284" s="45"/>
      <c r="K284" s="46"/>
      <c r="L284" s="17"/>
      <c r="M284" s="47"/>
      <c r="N284" s="18"/>
      <c r="O284" s="47"/>
      <c r="P284" s="17"/>
      <c r="Q284" s="47"/>
      <c r="R284" s="18"/>
      <c r="S284" s="48"/>
      <c r="T284" s="49"/>
      <c r="U284" s="48"/>
      <c r="V284" s="49"/>
      <c r="W284" s="29"/>
      <c r="X284" s="89" t="s">
        <v>198</v>
      </c>
    </row>
    <row r="285" spans="1:29" s="4" customFormat="1" ht="28.5" hidden="1" customHeight="1" x14ac:dyDescent="0.2">
      <c r="A285" s="86" t="s">
        <v>9</v>
      </c>
      <c r="B285" s="87"/>
      <c r="C285" s="93" t="s">
        <v>36</v>
      </c>
      <c r="D285" s="40" t="s">
        <v>139</v>
      </c>
      <c r="E285" s="41" t="s">
        <v>180</v>
      </c>
      <c r="F285" s="40"/>
      <c r="G285" s="42" t="s">
        <v>193</v>
      </c>
      <c r="H285" s="43">
        <f>(36.73+39.93)*1.15</f>
        <v>88.158999999999992</v>
      </c>
      <c r="I285" s="44"/>
      <c r="J285" s="45"/>
      <c r="K285" s="46"/>
      <c r="L285" s="17"/>
      <c r="M285" s="47"/>
      <c r="N285" s="18"/>
      <c r="O285" s="47"/>
      <c r="P285" s="17"/>
      <c r="Q285" s="47"/>
      <c r="R285" s="18"/>
      <c r="S285" s="48"/>
      <c r="T285" s="49"/>
      <c r="U285" s="48"/>
      <c r="V285" s="49"/>
      <c r="W285" s="29"/>
      <c r="X285" s="89" t="s">
        <v>198</v>
      </c>
    </row>
    <row r="286" spans="1:29" s="69" customFormat="1" ht="28.5" customHeight="1" x14ac:dyDescent="0.2">
      <c r="A286" s="66" t="s">
        <v>8</v>
      </c>
      <c r="B286" s="33" t="s">
        <v>245</v>
      </c>
      <c r="C286" s="23" t="s">
        <v>36</v>
      </c>
      <c r="D286" s="23" t="s">
        <v>139</v>
      </c>
      <c r="E286" s="24" t="s">
        <v>362</v>
      </c>
      <c r="F286" s="36"/>
      <c r="G286" s="37" t="s">
        <v>119</v>
      </c>
      <c r="H286" s="38">
        <f>(23.75+23.75+12.36+12.36+3.6+3.6+231.26+265.8)*1.103</f>
        <v>635.85744</v>
      </c>
      <c r="I286" s="25"/>
      <c r="J286" s="34"/>
      <c r="K286" s="32"/>
      <c r="L286" s="26"/>
      <c r="M286" s="67"/>
      <c r="N286" s="28"/>
      <c r="O286" s="67"/>
      <c r="P286" s="26"/>
      <c r="Q286" s="67"/>
      <c r="R286" s="28"/>
      <c r="S286" s="27"/>
      <c r="T286" s="28"/>
      <c r="U286" s="27"/>
      <c r="V286" s="28"/>
      <c r="W286" s="68"/>
      <c r="X286" s="114" t="s">
        <v>512</v>
      </c>
      <c r="Y286" s="114"/>
      <c r="Z286" s="114"/>
      <c r="AA286" s="68" t="s">
        <v>205</v>
      </c>
      <c r="AB286" s="88"/>
      <c r="AC286" s="88"/>
    </row>
    <row r="287" spans="1:29" s="4" customFormat="1" ht="28.5" hidden="1" customHeight="1" x14ac:dyDescent="0.2">
      <c r="A287" s="86" t="s">
        <v>9</v>
      </c>
      <c r="B287" s="87"/>
      <c r="C287" s="93" t="s">
        <v>36</v>
      </c>
      <c r="D287" s="40" t="s">
        <v>139</v>
      </c>
      <c r="E287" s="41" t="s">
        <v>190</v>
      </c>
      <c r="F287" s="40"/>
      <c r="G287" s="42" t="s">
        <v>119</v>
      </c>
      <c r="H287" s="43">
        <f>H286*1.2</f>
        <v>763.02892799999995</v>
      </c>
      <c r="I287" s="44"/>
      <c r="J287" s="45"/>
      <c r="K287" s="46"/>
      <c r="L287" s="17"/>
      <c r="M287" s="47"/>
      <c r="N287" s="18"/>
      <c r="O287" s="47"/>
      <c r="P287" s="17"/>
      <c r="Q287" s="47"/>
      <c r="R287" s="18"/>
      <c r="S287" s="48"/>
      <c r="T287" s="49"/>
      <c r="U287" s="48"/>
      <c r="V287" s="49"/>
      <c r="W287" s="29"/>
      <c r="X287" s="89" t="s">
        <v>192</v>
      </c>
    </row>
    <row r="288" spans="1:29" s="4" customFormat="1" ht="28.5" hidden="1" customHeight="1" x14ac:dyDescent="0.2">
      <c r="A288" s="86" t="s">
        <v>9</v>
      </c>
      <c r="B288" s="87"/>
      <c r="C288" s="93" t="s">
        <v>36</v>
      </c>
      <c r="D288" s="40" t="s">
        <v>139</v>
      </c>
      <c r="E288" s="41" t="s">
        <v>199</v>
      </c>
      <c r="F288" s="40"/>
      <c r="G288" s="42" t="s">
        <v>193</v>
      </c>
      <c r="H288" s="43">
        <f>34.73+3.6+5.14+6.96</f>
        <v>50.43</v>
      </c>
      <c r="I288" s="44"/>
      <c r="J288" s="45"/>
      <c r="K288" s="46"/>
      <c r="L288" s="17"/>
      <c r="M288" s="47"/>
      <c r="N288" s="18"/>
      <c r="O288" s="47"/>
      <c r="P288" s="17"/>
      <c r="Q288" s="47"/>
      <c r="R288" s="18"/>
      <c r="S288" s="48"/>
      <c r="T288" s="49"/>
      <c r="U288" s="48"/>
      <c r="V288" s="49"/>
      <c r="W288" s="29"/>
      <c r="X288" s="89"/>
    </row>
    <row r="289" spans="1:29" ht="28.5" hidden="1" customHeight="1" x14ac:dyDescent="0.2">
      <c r="A289" s="13" t="s">
        <v>9</v>
      </c>
      <c r="B289" s="111"/>
      <c r="C289" s="93" t="s">
        <v>36</v>
      </c>
      <c r="D289" s="40" t="s">
        <v>139</v>
      </c>
      <c r="E289" s="41" t="s">
        <v>291</v>
      </c>
      <c r="F289" s="40"/>
      <c r="G289" s="42" t="s">
        <v>193</v>
      </c>
      <c r="H289" s="43">
        <v>15.78</v>
      </c>
      <c r="I289" s="44"/>
      <c r="J289" s="45"/>
      <c r="K289" s="46"/>
      <c r="L289" s="17"/>
      <c r="M289" s="47"/>
      <c r="N289" s="18"/>
      <c r="O289" s="47"/>
      <c r="P289" s="17"/>
      <c r="Q289" s="47"/>
      <c r="R289" s="18"/>
      <c r="S289" s="48"/>
      <c r="T289" s="49"/>
      <c r="U289" s="48"/>
      <c r="V289" s="49"/>
      <c r="W289" s="29"/>
      <c r="X289" s="89"/>
      <c r="Y289" s="8"/>
      <c r="Z289" s="8"/>
      <c r="AA289" s="8"/>
      <c r="AB289" s="8"/>
      <c r="AC289" s="8"/>
    </row>
    <row r="290" spans="1:29" s="69" customFormat="1" ht="28.5" customHeight="1" x14ac:dyDescent="0.2">
      <c r="A290" s="66" t="s">
        <v>8</v>
      </c>
      <c r="B290" s="33" t="s">
        <v>246</v>
      </c>
      <c r="C290" s="23" t="s">
        <v>36</v>
      </c>
      <c r="D290" s="23" t="s">
        <v>139</v>
      </c>
      <c r="E290" s="24" t="s">
        <v>361</v>
      </c>
      <c r="F290" s="36"/>
      <c r="G290" s="37" t="s">
        <v>119</v>
      </c>
      <c r="H290" s="38">
        <f>0.5*(36.73+39.93)</f>
        <v>38.33</v>
      </c>
      <c r="I290" s="25"/>
      <c r="J290" s="25"/>
      <c r="K290" s="97"/>
      <c r="L290" s="98"/>
      <c r="M290" s="99"/>
      <c r="N290" s="100"/>
      <c r="O290" s="99"/>
      <c r="P290" s="98"/>
      <c r="Q290" s="99"/>
      <c r="R290" s="100"/>
      <c r="S290" s="101"/>
      <c r="T290" s="100"/>
      <c r="U290" s="101"/>
      <c r="V290" s="100"/>
      <c r="W290" s="102"/>
      <c r="X290" s="114" t="s">
        <v>512</v>
      </c>
      <c r="Y290" s="114"/>
      <c r="Z290" s="114"/>
      <c r="AA290" s="88"/>
      <c r="AB290" s="88"/>
      <c r="AC290" s="88"/>
    </row>
    <row r="291" spans="1:29" s="4" customFormat="1" ht="28.5" hidden="1" customHeight="1" x14ac:dyDescent="0.2">
      <c r="A291" s="86" t="s">
        <v>9</v>
      </c>
      <c r="B291" s="87"/>
      <c r="C291" s="93" t="s">
        <v>36</v>
      </c>
      <c r="D291" s="40" t="s">
        <v>139</v>
      </c>
      <c r="E291" s="41" t="s">
        <v>189</v>
      </c>
      <c r="F291" s="103"/>
      <c r="G291" s="42" t="s">
        <v>119</v>
      </c>
      <c r="H291" s="43">
        <f>H290*1.15</f>
        <v>44.079499999999996</v>
      </c>
      <c r="I291" s="44"/>
      <c r="J291" s="44"/>
      <c r="K291" s="104"/>
      <c r="L291" s="105"/>
      <c r="M291" s="106"/>
      <c r="N291" s="107"/>
      <c r="O291" s="106"/>
      <c r="P291" s="105"/>
      <c r="Q291" s="106"/>
      <c r="R291" s="107"/>
      <c r="S291" s="108"/>
      <c r="T291" s="109"/>
      <c r="U291" s="108"/>
      <c r="V291" s="109"/>
      <c r="W291" s="110"/>
      <c r="X291" s="89" t="s">
        <v>198</v>
      </c>
    </row>
    <row r="292" spans="1:29" s="4" customFormat="1" ht="28.5" hidden="1" customHeight="1" x14ac:dyDescent="0.2">
      <c r="A292" s="86" t="s">
        <v>9</v>
      </c>
      <c r="B292" s="87"/>
      <c r="C292" s="93" t="s">
        <v>36</v>
      </c>
      <c r="D292" s="40" t="s">
        <v>139</v>
      </c>
      <c r="E292" s="41" t="s">
        <v>195</v>
      </c>
      <c r="F292" s="103"/>
      <c r="G292" s="42" t="s">
        <v>193</v>
      </c>
      <c r="H292" s="43">
        <f>(36.73+39.93)*1.15</f>
        <v>88.158999999999992</v>
      </c>
      <c r="I292" s="44"/>
      <c r="J292" s="44"/>
      <c r="K292" s="104"/>
      <c r="L292" s="105"/>
      <c r="M292" s="106"/>
      <c r="N292" s="107"/>
      <c r="O292" s="106"/>
      <c r="P292" s="105"/>
      <c r="Q292" s="106"/>
      <c r="R292" s="107"/>
      <c r="S292" s="108"/>
      <c r="T292" s="109"/>
      <c r="U292" s="108"/>
      <c r="V292" s="109"/>
      <c r="W292" s="110"/>
      <c r="X292" s="89" t="s">
        <v>198</v>
      </c>
    </row>
    <row r="293" spans="1:29" s="4" customFormat="1" ht="28.5" hidden="1" customHeight="1" x14ac:dyDescent="0.2">
      <c r="A293" s="86" t="s">
        <v>9</v>
      </c>
      <c r="B293" s="87"/>
      <c r="C293" s="93" t="s">
        <v>36</v>
      </c>
      <c r="D293" s="40" t="s">
        <v>139</v>
      </c>
      <c r="E293" s="41" t="s">
        <v>196</v>
      </c>
      <c r="F293" s="103"/>
      <c r="G293" s="42" t="s">
        <v>193</v>
      </c>
      <c r="H293" s="43">
        <f>(36.73+39.93)*1.15</f>
        <v>88.158999999999992</v>
      </c>
      <c r="I293" s="44"/>
      <c r="J293" s="44"/>
      <c r="K293" s="104"/>
      <c r="L293" s="105"/>
      <c r="M293" s="106"/>
      <c r="N293" s="107"/>
      <c r="O293" s="106"/>
      <c r="P293" s="105"/>
      <c r="Q293" s="106"/>
      <c r="R293" s="107"/>
      <c r="S293" s="108"/>
      <c r="T293" s="109"/>
      <c r="U293" s="108"/>
      <c r="V293" s="109"/>
      <c r="W293" s="110"/>
      <c r="X293" s="89" t="s">
        <v>198</v>
      </c>
    </row>
    <row r="294" spans="1:29" s="4" customFormat="1" ht="28.5" hidden="1" customHeight="1" x14ac:dyDescent="0.2">
      <c r="A294" s="86" t="s">
        <v>9</v>
      </c>
      <c r="B294" s="87"/>
      <c r="C294" s="93" t="s">
        <v>36</v>
      </c>
      <c r="D294" s="40" t="s">
        <v>139</v>
      </c>
      <c r="E294" s="41" t="s">
        <v>197</v>
      </c>
      <c r="F294" s="103"/>
      <c r="G294" s="42" t="s">
        <v>193</v>
      </c>
      <c r="H294" s="43">
        <f>(36.73+39.93)*1.15</f>
        <v>88.158999999999992</v>
      </c>
      <c r="I294" s="44"/>
      <c r="J294" s="44"/>
      <c r="K294" s="104"/>
      <c r="L294" s="105"/>
      <c r="M294" s="106"/>
      <c r="N294" s="107"/>
      <c r="O294" s="106"/>
      <c r="P294" s="105"/>
      <c r="Q294" s="106"/>
      <c r="R294" s="107"/>
      <c r="S294" s="108"/>
      <c r="T294" s="109"/>
      <c r="U294" s="108"/>
      <c r="V294" s="109"/>
      <c r="W294" s="110"/>
      <c r="X294" s="89" t="s">
        <v>198</v>
      </c>
    </row>
    <row r="295" spans="1:29" s="85" customFormat="1" ht="28.5" customHeight="1" x14ac:dyDescent="0.2">
      <c r="A295" s="70" t="s">
        <v>14</v>
      </c>
      <c r="B295" s="71">
        <v>12</v>
      </c>
      <c r="C295" s="72" t="s">
        <v>36</v>
      </c>
      <c r="D295" s="75" t="s">
        <v>139</v>
      </c>
      <c r="E295" s="74" t="s">
        <v>226</v>
      </c>
      <c r="F295" s="75"/>
      <c r="G295" s="73"/>
      <c r="H295" s="76"/>
      <c r="I295" s="77"/>
      <c r="J295" s="76"/>
      <c r="K295" s="78"/>
      <c r="L295" s="79"/>
      <c r="M295" s="80"/>
      <c r="N295" s="81"/>
      <c r="O295" s="82"/>
      <c r="P295" s="79"/>
      <c r="Q295" s="80"/>
      <c r="R295" s="81"/>
      <c r="S295" s="80"/>
      <c r="T295" s="83"/>
      <c r="U295" s="84"/>
      <c r="V295" s="83"/>
    </row>
    <row r="296" spans="1:29" s="69" customFormat="1" ht="28.5" customHeight="1" x14ac:dyDescent="0.2">
      <c r="A296" s="66" t="s">
        <v>8</v>
      </c>
      <c r="B296" s="33" t="s">
        <v>247</v>
      </c>
      <c r="C296" s="23" t="s">
        <v>36</v>
      </c>
      <c r="D296" s="23" t="s">
        <v>139</v>
      </c>
      <c r="E296" s="24" t="s">
        <v>178</v>
      </c>
      <c r="F296" s="36"/>
      <c r="G296" s="37" t="s">
        <v>119</v>
      </c>
      <c r="H296" s="38">
        <f>(23.75+23.75+12.36+12.36+3.6+3.6+231.26+265.8+235.3)*1.103</f>
        <v>895.39333999999997</v>
      </c>
      <c r="I296" s="25"/>
      <c r="J296" s="34"/>
      <c r="K296" s="32"/>
      <c r="L296" s="26"/>
      <c r="M296" s="67"/>
      <c r="N296" s="28"/>
      <c r="O296" s="67"/>
      <c r="P296" s="26"/>
      <c r="Q296" s="67"/>
      <c r="R296" s="28"/>
      <c r="S296" s="27"/>
      <c r="T296" s="28"/>
      <c r="U296" s="27"/>
      <c r="V296" s="28"/>
      <c r="W296" s="68"/>
      <c r="X296" s="68"/>
      <c r="Y296" s="88"/>
      <c r="Z296" s="88"/>
      <c r="AA296" s="68" t="s">
        <v>205</v>
      </c>
      <c r="AB296" s="88"/>
      <c r="AC296" s="88"/>
    </row>
    <row r="297" spans="1:29" s="4" customFormat="1" ht="28.5" hidden="1" customHeight="1" x14ac:dyDescent="0.2">
      <c r="A297" s="86" t="s">
        <v>9</v>
      </c>
      <c r="B297" s="87"/>
      <c r="C297" s="93" t="s">
        <v>36</v>
      </c>
      <c r="D297" s="40" t="s">
        <v>139</v>
      </c>
      <c r="E297" s="41" t="s">
        <v>171</v>
      </c>
      <c r="F297" s="40"/>
      <c r="G297" s="42" t="s">
        <v>119</v>
      </c>
      <c r="H297" s="43">
        <f>H296*1.2</f>
        <v>1074.472008</v>
      </c>
      <c r="I297" s="44"/>
      <c r="J297" s="45"/>
      <c r="K297" s="46"/>
      <c r="L297" s="17"/>
      <c r="M297" s="47"/>
      <c r="N297" s="18"/>
      <c r="O297" s="47"/>
      <c r="P297" s="17"/>
      <c r="Q297" s="47"/>
      <c r="R297" s="18"/>
      <c r="S297" s="48"/>
      <c r="T297" s="49"/>
      <c r="U297" s="48"/>
      <c r="V297" s="49"/>
      <c r="W297" s="29"/>
      <c r="X297" s="89" t="s">
        <v>172</v>
      </c>
    </row>
    <row r="298" spans="1:29" s="4" customFormat="1" ht="28.5" hidden="1" customHeight="1" x14ac:dyDescent="0.2">
      <c r="A298" s="86" t="s">
        <v>9</v>
      </c>
      <c r="B298" s="87"/>
      <c r="C298" s="93" t="s">
        <v>36</v>
      </c>
      <c r="D298" s="40" t="s">
        <v>139</v>
      </c>
      <c r="E298" s="41" t="s">
        <v>179</v>
      </c>
      <c r="F298" s="40"/>
      <c r="G298" s="42" t="s">
        <v>193</v>
      </c>
      <c r="H298" s="43">
        <f>H297/1.6*1.15</f>
        <v>772.27675574999989</v>
      </c>
      <c r="I298" s="44"/>
      <c r="J298" s="45"/>
      <c r="K298" s="46"/>
      <c r="L298" s="17"/>
      <c r="M298" s="47"/>
      <c r="N298" s="18"/>
      <c r="O298" s="47"/>
      <c r="P298" s="17"/>
      <c r="Q298" s="47"/>
      <c r="R298" s="18"/>
      <c r="S298" s="48"/>
      <c r="T298" s="49"/>
      <c r="U298" s="48"/>
      <c r="V298" s="49"/>
      <c r="W298" s="29"/>
      <c r="X298" s="89" t="s">
        <v>198</v>
      </c>
    </row>
    <row r="299" spans="1:29" s="4" customFormat="1" ht="28.5" hidden="1" customHeight="1" x14ac:dyDescent="0.2">
      <c r="A299" s="86" t="s">
        <v>9</v>
      </c>
      <c r="B299" s="87"/>
      <c r="C299" s="93" t="s">
        <v>36</v>
      </c>
      <c r="D299" s="40" t="s">
        <v>139</v>
      </c>
      <c r="E299" s="41" t="s">
        <v>180</v>
      </c>
      <c r="F299" s="40"/>
      <c r="G299" s="42" t="s">
        <v>193</v>
      </c>
      <c r="H299" s="43">
        <f>(100.3)*1.15</f>
        <v>115.34499999999998</v>
      </c>
      <c r="I299" s="44"/>
      <c r="J299" s="45"/>
      <c r="K299" s="46"/>
      <c r="L299" s="17"/>
      <c r="M299" s="47"/>
      <c r="N299" s="18"/>
      <c r="O299" s="47"/>
      <c r="P299" s="17"/>
      <c r="Q299" s="47"/>
      <c r="R299" s="18"/>
      <c r="S299" s="48"/>
      <c r="T299" s="49"/>
      <c r="U299" s="48"/>
      <c r="V299" s="49"/>
      <c r="W299" s="29"/>
      <c r="X299" s="89" t="s">
        <v>198</v>
      </c>
    </row>
    <row r="300" spans="1:29" s="69" customFormat="1" ht="28.5" customHeight="1" x14ac:dyDescent="0.2">
      <c r="A300" s="66" t="s">
        <v>8</v>
      </c>
      <c r="B300" s="33" t="s">
        <v>248</v>
      </c>
      <c r="C300" s="23" t="s">
        <v>36</v>
      </c>
      <c r="D300" s="23" t="s">
        <v>139</v>
      </c>
      <c r="E300" s="24" t="s">
        <v>362</v>
      </c>
      <c r="F300" s="36"/>
      <c r="G300" s="37" t="s">
        <v>119</v>
      </c>
      <c r="H300" s="38">
        <f>(23.75+23.75+12.36+12.36+3.6+3.6+231.26+265.8+235.3)*1.103</f>
        <v>895.39333999999997</v>
      </c>
      <c r="I300" s="25"/>
      <c r="J300" s="34"/>
      <c r="K300" s="32"/>
      <c r="L300" s="26"/>
      <c r="M300" s="67"/>
      <c r="N300" s="28"/>
      <c r="O300" s="67"/>
      <c r="P300" s="26"/>
      <c r="Q300" s="67"/>
      <c r="R300" s="28"/>
      <c r="S300" s="27"/>
      <c r="T300" s="28"/>
      <c r="U300" s="27"/>
      <c r="V300" s="28"/>
      <c r="W300" s="68"/>
      <c r="X300" s="114" t="s">
        <v>512</v>
      </c>
      <c r="Y300" s="114"/>
      <c r="Z300" s="114"/>
      <c r="AA300" s="68" t="s">
        <v>205</v>
      </c>
      <c r="AB300" s="88"/>
      <c r="AC300" s="88"/>
    </row>
    <row r="301" spans="1:29" s="4" customFormat="1" ht="28.5" hidden="1" customHeight="1" x14ac:dyDescent="0.2">
      <c r="A301" s="86" t="s">
        <v>9</v>
      </c>
      <c r="B301" s="87"/>
      <c r="C301" s="93" t="s">
        <v>36</v>
      </c>
      <c r="D301" s="40" t="s">
        <v>139</v>
      </c>
      <c r="E301" s="41" t="s">
        <v>190</v>
      </c>
      <c r="F301" s="40"/>
      <c r="G301" s="42" t="s">
        <v>119</v>
      </c>
      <c r="H301" s="43">
        <f>H300*1.2</f>
        <v>1074.472008</v>
      </c>
      <c r="I301" s="44"/>
      <c r="J301" s="45"/>
      <c r="K301" s="46"/>
      <c r="L301" s="17"/>
      <c r="M301" s="47"/>
      <c r="N301" s="18"/>
      <c r="O301" s="47"/>
      <c r="P301" s="17"/>
      <c r="Q301" s="47"/>
      <c r="R301" s="18"/>
      <c r="S301" s="48"/>
      <c r="T301" s="49"/>
      <c r="U301" s="48"/>
      <c r="V301" s="49"/>
      <c r="W301" s="29"/>
      <c r="X301" s="89" t="s">
        <v>192</v>
      </c>
    </row>
    <row r="302" spans="1:29" s="4" customFormat="1" ht="28.5" hidden="1" customHeight="1" x14ac:dyDescent="0.2">
      <c r="A302" s="86" t="s">
        <v>9</v>
      </c>
      <c r="B302" s="87"/>
      <c r="C302" s="93" t="s">
        <v>36</v>
      </c>
      <c r="D302" s="40" t="s">
        <v>139</v>
      </c>
      <c r="E302" s="41" t="s">
        <v>199</v>
      </c>
      <c r="F302" s="40"/>
      <c r="G302" s="42" t="s">
        <v>193</v>
      </c>
      <c r="H302" s="43">
        <f>41.9+5.54+5.6+3.6+7.19+3.8</f>
        <v>67.63</v>
      </c>
      <c r="I302" s="44"/>
      <c r="J302" s="45"/>
      <c r="K302" s="46"/>
      <c r="L302" s="17"/>
      <c r="M302" s="47"/>
      <c r="N302" s="18"/>
      <c r="O302" s="47"/>
      <c r="P302" s="17"/>
      <c r="Q302" s="47"/>
      <c r="R302" s="18"/>
      <c r="S302" s="48"/>
      <c r="T302" s="49"/>
      <c r="U302" s="48"/>
      <c r="V302" s="49"/>
      <c r="W302" s="29"/>
      <c r="X302" s="89"/>
    </row>
    <row r="303" spans="1:29" ht="28.5" hidden="1" customHeight="1" x14ac:dyDescent="0.2">
      <c r="A303" s="13" t="s">
        <v>9</v>
      </c>
      <c r="B303" s="111"/>
      <c r="C303" s="93" t="s">
        <v>36</v>
      </c>
      <c r="D303" s="40" t="s">
        <v>139</v>
      </c>
      <c r="E303" s="41" t="s">
        <v>291</v>
      </c>
      <c r="F303" s="40"/>
      <c r="G303" s="42" t="s">
        <v>193</v>
      </c>
      <c r="H303" s="43">
        <v>15.78</v>
      </c>
      <c r="I303" s="44"/>
      <c r="J303" s="45"/>
      <c r="K303" s="46"/>
      <c r="L303" s="17"/>
      <c r="M303" s="47"/>
      <c r="N303" s="18"/>
      <c r="O303" s="47"/>
      <c r="P303" s="17"/>
      <c r="Q303" s="47"/>
      <c r="R303" s="18"/>
      <c r="S303" s="48"/>
      <c r="T303" s="49"/>
      <c r="U303" s="48"/>
      <c r="V303" s="49"/>
      <c r="W303" s="29"/>
      <c r="X303" s="89"/>
      <c r="Y303" s="8"/>
      <c r="Z303" s="8"/>
      <c r="AA303" s="8"/>
      <c r="AB303" s="8"/>
      <c r="AC303" s="8"/>
    </row>
    <row r="304" spans="1:29" s="69" customFormat="1" ht="28.5" customHeight="1" x14ac:dyDescent="0.2">
      <c r="A304" s="66" t="s">
        <v>8</v>
      </c>
      <c r="B304" s="33" t="s">
        <v>249</v>
      </c>
      <c r="C304" s="23" t="s">
        <v>36</v>
      </c>
      <c r="D304" s="23" t="s">
        <v>139</v>
      </c>
      <c r="E304" s="24" t="s">
        <v>361</v>
      </c>
      <c r="F304" s="36"/>
      <c r="G304" s="37" t="s">
        <v>119</v>
      </c>
      <c r="H304" s="38">
        <f>0.5*(100.3)</f>
        <v>50.15</v>
      </c>
      <c r="I304" s="25"/>
      <c r="J304" s="25"/>
      <c r="K304" s="97"/>
      <c r="L304" s="98"/>
      <c r="M304" s="99"/>
      <c r="N304" s="100"/>
      <c r="O304" s="99"/>
      <c r="P304" s="98"/>
      <c r="Q304" s="99"/>
      <c r="R304" s="100"/>
      <c r="S304" s="101"/>
      <c r="T304" s="100"/>
      <c r="U304" s="101"/>
      <c r="V304" s="100"/>
      <c r="W304" s="102"/>
      <c r="X304" s="114" t="s">
        <v>512</v>
      </c>
      <c r="Y304" s="114"/>
      <c r="Z304" s="114"/>
      <c r="AA304" s="88"/>
      <c r="AB304" s="88"/>
      <c r="AC304" s="88"/>
    </row>
    <row r="305" spans="1:29" s="4" customFormat="1" ht="28.5" hidden="1" customHeight="1" x14ac:dyDescent="0.2">
      <c r="A305" s="86" t="s">
        <v>9</v>
      </c>
      <c r="B305" s="87"/>
      <c r="C305" s="93" t="s">
        <v>36</v>
      </c>
      <c r="D305" s="40" t="s">
        <v>139</v>
      </c>
      <c r="E305" s="41" t="s">
        <v>189</v>
      </c>
      <c r="F305" s="103"/>
      <c r="G305" s="42" t="s">
        <v>119</v>
      </c>
      <c r="H305" s="43">
        <f>H304*1.15</f>
        <v>57.672499999999992</v>
      </c>
      <c r="I305" s="44"/>
      <c r="J305" s="44"/>
      <c r="K305" s="104"/>
      <c r="L305" s="105"/>
      <c r="M305" s="106"/>
      <c r="N305" s="107"/>
      <c r="O305" s="106"/>
      <c r="P305" s="105"/>
      <c r="Q305" s="106"/>
      <c r="R305" s="107"/>
      <c r="S305" s="108"/>
      <c r="T305" s="109"/>
      <c r="U305" s="108"/>
      <c r="V305" s="109"/>
      <c r="W305" s="110"/>
      <c r="X305" s="89" t="s">
        <v>198</v>
      </c>
    </row>
    <row r="306" spans="1:29" s="4" customFormat="1" ht="28.5" hidden="1" customHeight="1" x14ac:dyDescent="0.2">
      <c r="A306" s="86" t="s">
        <v>9</v>
      </c>
      <c r="B306" s="87"/>
      <c r="C306" s="93" t="s">
        <v>36</v>
      </c>
      <c r="D306" s="40" t="s">
        <v>139</v>
      </c>
      <c r="E306" s="41" t="s">
        <v>195</v>
      </c>
      <c r="F306" s="103"/>
      <c r="G306" s="42" t="s">
        <v>193</v>
      </c>
      <c r="H306" s="43">
        <f>(100.3)*1.15</f>
        <v>115.34499999999998</v>
      </c>
      <c r="I306" s="44"/>
      <c r="J306" s="44"/>
      <c r="K306" s="104"/>
      <c r="L306" s="105"/>
      <c r="M306" s="106"/>
      <c r="N306" s="107"/>
      <c r="O306" s="106"/>
      <c r="P306" s="105"/>
      <c r="Q306" s="106"/>
      <c r="R306" s="107"/>
      <c r="S306" s="108"/>
      <c r="T306" s="109"/>
      <c r="U306" s="108"/>
      <c r="V306" s="109"/>
      <c r="W306" s="110"/>
      <c r="X306" s="89" t="s">
        <v>198</v>
      </c>
    </row>
    <row r="307" spans="1:29" s="4" customFormat="1" ht="28.5" hidden="1" customHeight="1" x14ac:dyDescent="0.2">
      <c r="A307" s="86" t="s">
        <v>9</v>
      </c>
      <c r="B307" s="87"/>
      <c r="C307" s="93" t="s">
        <v>36</v>
      </c>
      <c r="D307" s="40" t="s">
        <v>139</v>
      </c>
      <c r="E307" s="41" t="s">
        <v>196</v>
      </c>
      <c r="F307" s="103"/>
      <c r="G307" s="42" t="s">
        <v>193</v>
      </c>
      <c r="H307" s="43">
        <f>(100.3)*1.15</f>
        <v>115.34499999999998</v>
      </c>
      <c r="I307" s="44"/>
      <c r="J307" s="44"/>
      <c r="K307" s="104"/>
      <c r="L307" s="105"/>
      <c r="M307" s="106"/>
      <c r="N307" s="107"/>
      <c r="O307" s="106"/>
      <c r="P307" s="105"/>
      <c r="Q307" s="106"/>
      <c r="R307" s="107"/>
      <c r="S307" s="108"/>
      <c r="T307" s="109"/>
      <c r="U307" s="108"/>
      <c r="V307" s="109"/>
      <c r="W307" s="110"/>
      <c r="X307" s="89" t="s">
        <v>198</v>
      </c>
    </row>
    <row r="308" spans="1:29" s="4" customFormat="1" ht="28.5" hidden="1" customHeight="1" x14ac:dyDescent="0.2">
      <c r="A308" s="86" t="s">
        <v>9</v>
      </c>
      <c r="B308" s="87"/>
      <c r="C308" s="93" t="s">
        <v>36</v>
      </c>
      <c r="D308" s="40" t="s">
        <v>139</v>
      </c>
      <c r="E308" s="41" t="s">
        <v>197</v>
      </c>
      <c r="F308" s="103"/>
      <c r="G308" s="42" t="s">
        <v>193</v>
      </c>
      <c r="H308" s="43">
        <f>(100.3)*1.15</f>
        <v>115.34499999999998</v>
      </c>
      <c r="I308" s="44"/>
      <c r="J308" s="44"/>
      <c r="K308" s="104"/>
      <c r="L308" s="105"/>
      <c r="M308" s="106"/>
      <c r="N308" s="107"/>
      <c r="O308" s="106"/>
      <c r="P308" s="105"/>
      <c r="Q308" s="106"/>
      <c r="R308" s="107"/>
      <c r="S308" s="108"/>
      <c r="T308" s="109"/>
      <c r="U308" s="108"/>
      <c r="V308" s="109"/>
      <c r="W308" s="110"/>
      <c r="X308" s="89" t="s">
        <v>198</v>
      </c>
    </row>
    <row r="309" spans="1:29" s="64" customFormat="1" ht="28.5" customHeight="1" x14ac:dyDescent="0.2">
      <c r="A309" s="50" t="s">
        <v>14</v>
      </c>
      <c r="B309" s="94" t="s">
        <v>259</v>
      </c>
      <c r="C309" s="51" t="s">
        <v>36</v>
      </c>
      <c r="D309" s="52"/>
      <c r="E309" s="53" t="s">
        <v>256</v>
      </c>
      <c r="F309" s="54"/>
      <c r="G309" s="52"/>
      <c r="H309" s="55"/>
      <c r="I309" s="56"/>
      <c r="J309" s="55"/>
      <c r="K309" s="57"/>
      <c r="L309" s="58"/>
      <c r="M309" s="59"/>
      <c r="N309" s="60"/>
      <c r="O309" s="61"/>
      <c r="P309" s="58"/>
      <c r="Q309" s="59"/>
      <c r="R309" s="60"/>
      <c r="S309" s="59"/>
      <c r="T309" s="62"/>
      <c r="U309" s="63"/>
      <c r="V309" s="62"/>
    </row>
    <row r="310" spans="1:29" s="85" customFormat="1" ht="28.5" customHeight="1" x14ac:dyDescent="0.2">
      <c r="A310" s="70" t="s">
        <v>14</v>
      </c>
      <c r="B310" s="71">
        <v>13</v>
      </c>
      <c r="C310" s="72" t="s">
        <v>36</v>
      </c>
      <c r="D310" s="75" t="s">
        <v>258</v>
      </c>
      <c r="E310" s="74" t="s">
        <v>257</v>
      </c>
      <c r="F310" s="75"/>
      <c r="G310" s="73"/>
      <c r="H310" s="76"/>
      <c r="I310" s="77"/>
      <c r="J310" s="76"/>
      <c r="K310" s="78"/>
      <c r="L310" s="79"/>
      <c r="M310" s="80"/>
      <c r="N310" s="81"/>
      <c r="O310" s="82"/>
      <c r="P310" s="79"/>
      <c r="Q310" s="80"/>
      <c r="R310" s="81"/>
      <c r="S310" s="80"/>
      <c r="T310" s="83"/>
      <c r="U310" s="84"/>
      <c r="V310" s="83"/>
    </row>
    <row r="311" spans="1:29" s="69" customFormat="1" ht="28.5" customHeight="1" x14ac:dyDescent="0.2">
      <c r="A311" s="66" t="s">
        <v>8</v>
      </c>
      <c r="B311" s="33" t="s">
        <v>260</v>
      </c>
      <c r="C311" s="23" t="s">
        <v>36</v>
      </c>
      <c r="D311" s="23" t="s">
        <v>258</v>
      </c>
      <c r="E311" s="24" t="s">
        <v>364</v>
      </c>
      <c r="F311" s="36"/>
      <c r="G311" s="37" t="s">
        <v>193</v>
      </c>
      <c r="H311" s="38">
        <f>29.6+6.5+1.68+10.9+4.37+3.36+3.75</f>
        <v>60.16</v>
      </c>
      <c r="I311" s="25"/>
      <c r="J311" s="34"/>
      <c r="K311" s="32"/>
      <c r="L311" s="26"/>
      <c r="M311" s="67"/>
      <c r="N311" s="28"/>
      <c r="O311" s="67"/>
      <c r="P311" s="26"/>
      <c r="Q311" s="67"/>
      <c r="R311" s="28"/>
      <c r="S311" s="27"/>
      <c r="T311" s="28"/>
      <c r="U311" s="27"/>
      <c r="V311" s="28"/>
      <c r="W311" s="68"/>
      <c r="X311" s="114" t="s">
        <v>509</v>
      </c>
      <c r="Y311" s="114"/>
      <c r="Z311" s="114"/>
      <c r="AA311" s="114"/>
      <c r="AB311" s="114"/>
      <c r="AC311" s="114"/>
    </row>
    <row r="312" spans="1:29" ht="28.5" hidden="1" customHeight="1" x14ac:dyDescent="0.2">
      <c r="A312" s="13" t="s">
        <v>9</v>
      </c>
      <c r="B312" s="111"/>
      <c r="C312" s="93" t="s">
        <v>36</v>
      </c>
      <c r="D312" s="40" t="s">
        <v>258</v>
      </c>
      <c r="E312" s="41" t="s">
        <v>457</v>
      </c>
      <c r="F312" s="40"/>
      <c r="G312" s="42" t="s">
        <v>193</v>
      </c>
      <c r="H312" s="43">
        <f>H311*1.15</f>
        <v>69.183999999999997</v>
      </c>
      <c r="I312" s="44"/>
      <c r="J312" s="45"/>
      <c r="K312" s="46"/>
      <c r="L312" s="17"/>
      <c r="M312" s="47"/>
      <c r="N312" s="18"/>
      <c r="O312" s="47"/>
      <c r="P312" s="17"/>
      <c r="Q312" s="47"/>
      <c r="R312" s="18"/>
      <c r="S312" s="48"/>
      <c r="T312" s="49"/>
      <c r="U312" s="48"/>
      <c r="V312" s="49"/>
      <c r="W312" s="29"/>
      <c r="X312" s="89" t="s">
        <v>198</v>
      </c>
      <c r="Y312" s="8"/>
      <c r="Z312" s="8"/>
      <c r="AA312" s="8"/>
      <c r="AB312" s="8"/>
      <c r="AC312" s="8"/>
    </row>
    <row r="313" spans="1:29" ht="28.5" hidden="1" customHeight="1" x14ac:dyDescent="0.2">
      <c r="A313" s="13" t="s">
        <v>9</v>
      </c>
      <c r="B313" s="111"/>
      <c r="C313" s="93" t="s">
        <v>36</v>
      </c>
      <c r="D313" s="40" t="s">
        <v>258</v>
      </c>
      <c r="E313" s="41" t="s">
        <v>204</v>
      </c>
      <c r="F313" s="40"/>
      <c r="G313" s="42" t="s">
        <v>193</v>
      </c>
      <c r="H313" s="43">
        <f>H311*1.15</f>
        <v>69.183999999999997</v>
      </c>
      <c r="I313" s="44"/>
      <c r="J313" s="45"/>
      <c r="K313" s="46"/>
      <c r="L313" s="17"/>
      <c r="M313" s="47"/>
      <c r="N313" s="18"/>
      <c r="O313" s="47"/>
      <c r="P313" s="17"/>
      <c r="Q313" s="47"/>
      <c r="R313" s="18"/>
      <c r="S313" s="48"/>
      <c r="T313" s="49"/>
      <c r="U313" s="48"/>
      <c r="V313" s="49"/>
      <c r="W313" s="29"/>
      <c r="X313" s="89" t="s">
        <v>198</v>
      </c>
      <c r="Y313" s="8"/>
      <c r="Z313" s="8"/>
      <c r="AA313" s="8"/>
      <c r="AB313" s="8"/>
      <c r="AC313" s="8"/>
    </row>
    <row r="314" spans="1:29" s="69" customFormat="1" ht="28.5" customHeight="1" x14ac:dyDescent="0.2">
      <c r="A314" s="66" t="s">
        <v>8</v>
      </c>
      <c r="B314" s="33" t="s">
        <v>267</v>
      </c>
      <c r="C314" s="23" t="s">
        <v>36</v>
      </c>
      <c r="D314" s="23" t="s">
        <v>258</v>
      </c>
      <c r="E314" s="24" t="s">
        <v>502</v>
      </c>
      <c r="F314" s="36"/>
      <c r="G314" s="37" t="s">
        <v>193</v>
      </c>
      <c r="H314" s="38">
        <f>9*15.647</f>
        <v>140.82300000000001</v>
      </c>
      <c r="I314" s="25"/>
      <c r="J314" s="34"/>
      <c r="K314" s="32"/>
      <c r="L314" s="26"/>
      <c r="M314" s="67"/>
      <c r="N314" s="28"/>
      <c r="O314" s="67"/>
      <c r="P314" s="26"/>
      <c r="Q314" s="67"/>
      <c r="R314" s="28"/>
      <c r="S314" s="27"/>
      <c r="T314" s="28"/>
      <c r="U314" s="27"/>
      <c r="V314" s="28"/>
      <c r="W314" s="68"/>
      <c r="X314" s="114" t="s">
        <v>509</v>
      </c>
      <c r="Y314" s="114"/>
      <c r="Z314" s="114"/>
      <c r="AA314" s="114"/>
      <c r="AB314" s="114"/>
      <c r="AC314" s="114"/>
    </row>
    <row r="315" spans="1:29" ht="28.5" hidden="1" customHeight="1" x14ac:dyDescent="0.2">
      <c r="A315" s="13" t="s">
        <v>9</v>
      </c>
      <c r="B315" s="111"/>
      <c r="C315" s="93" t="s">
        <v>36</v>
      </c>
      <c r="D315" s="40" t="s">
        <v>258</v>
      </c>
      <c r="E315" s="41" t="s">
        <v>503</v>
      </c>
      <c r="F315" s="40"/>
      <c r="G315" s="42" t="s">
        <v>193</v>
      </c>
      <c r="H315" s="43">
        <f>H314*1.15</f>
        <v>161.94645</v>
      </c>
      <c r="I315" s="44"/>
      <c r="J315" s="45"/>
      <c r="K315" s="46"/>
      <c r="L315" s="17"/>
      <c r="M315" s="47"/>
      <c r="N315" s="18"/>
      <c r="O315" s="47"/>
      <c r="P315" s="17"/>
      <c r="Q315" s="47"/>
      <c r="R315" s="18"/>
      <c r="S315" s="48"/>
      <c r="T315" s="49"/>
      <c r="U315" s="48"/>
      <c r="V315" s="49"/>
      <c r="W315" s="29"/>
      <c r="X315" s="89" t="s">
        <v>198</v>
      </c>
      <c r="Y315" s="8"/>
      <c r="Z315" s="8"/>
      <c r="AA315" s="8"/>
      <c r="AB315" s="8"/>
      <c r="AC315" s="8"/>
    </row>
    <row r="316" spans="1:29" s="69" customFormat="1" ht="28.5" customHeight="1" x14ac:dyDescent="0.2">
      <c r="A316" s="66" t="s">
        <v>8</v>
      </c>
      <c r="B316" s="33" t="s">
        <v>271</v>
      </c>
      <c r="C316" s="23" t="s">
        <v>36</v>
      </c>
      <c r="D316" s="23" t="s">
        <v>258</v>
      </c>
      <c r="E316" s="24" t="s">
        <v>268</v>
      </c>
      <c r="F316" s="36"/>
      <c r="G316" s="37" t="s">
        <v>193</v>
      </c>
      <c r="H316" s="38">
        <f>10.505+4.5+3.214+2.834+19.999</f>
        <v>41.052</v>
      </c>
      <c r="I316" s="25"/>
      <c r="J316" s="34"/>
      <c r="K316" s="32"/>
      <c r="L316" s="26"/>
      <c r="M316" s="67"/>
      <c r="N316" s="28"/>
      <c r="O316" s="67"/>
      <c r="P316" s="26"/>
      <c r="Q316" s="67"/>
      <c r="R316" s="28"/>
      <c r="S316" s="27"/>
      <c r="T316" s="28"/>
      <c r="U316" s="27"/>
      <c r="V316" s="28"/>
      <c r="W316" s="68"/>
      <c r="X316" s="114" t="s">
        <v>509</v>
      </c>
      <c r="Y316" s="114"/>
      <c r="Z316" s="114"/>
      <c r="AA316" s="114"/>
      <c r="AB316" s="114"/>
      <c r="AC316" s="114"/>
    </row>
    <row r="317" spans="1:29" ht="28.5" hidden="1" customHeight="1" x14ac:dyDescent="0.2">
      <c r="A317" s="13" t="s">
        <v>9</v>
      </c>
      <c r="B317" s="111"/>
      <c r="C317" s="93" t="s">
        <v>36</v>
      </c>
      <c r="D317" s="40" t="s">
        <v>258</v>
      </c>
      <c r="E317" s="41" t="s">
        <v>269</v>
      </c>
      <c r="F317" s="40"/>
      <c r="G317" s="42" t="s">
        <v>193</v>
      </c>
      <c r="H317" s="43">
        <f>H316</f>
        <v>41.052</v>
      </c>
      <c r="I317" s="44"/>
      <c r="J317" s="45"/>
      <c r="K317" s="46"/>
      <c r="L317" s="17"/>
      <c r="M317" s="47"/>
      <c r="N317" s="18"/>
      <c r="O317" s="47"/>
      <c r="P317" s="17"/>
      <c r="Q317" s="47"/>
      <c r="R317" s="18"/>
      <c r="S317" s="48"/>
      <c r="T317" s="49"/>
      <c r="U317" s="48"/>
      <c r="V317" s="49"/>
      <c r="W317" s="29"/>
      <c r="X317" s="89"/>
      <c r="Y317" s="8"/>
      <c r="Z317" s="8"/>
      <c r="AA317" s="8"/>
      <c r="AB317" s="8"/>
      <c r="AC317" s="8"/>
    </row>
    <row r="318" spans="1:29" s="69" customFormat="1" ht="28.5" customHeight="1" x14ac:dyDescent="0.2">
      <c r="A318" s="66" t="s">
        <v>8</v>
      </c>
      <c r="B318" s="33" t="s">
        <v>272</v>
      </c>
      <c r="C318" s="23" t="s">
        <v>36</v>
      </c>
      <c r="D318" s="23" t="s">
        <v>258</v>
      </c>
      <c r="E318" s="24" t="s">
        <v>363</v>
      </c>
      <c r="F318" s="36"/>
      <c r="G318" s="37" t="s">
        <v>193</v>
      </c>
      <c r="H318" s="38">
        <f>10.539+4.813+3.226+2.846+20.227</f>
        <v>41.650999999999996</v>
      </c>
      <c r="I318" s="25"/>
      <c r="J318" s="34"/>
      <c r="K318" s="32"/>
      <c r="L318" s="26"/>
      <c r="M318" s="67"/>
      <c r="N318" s="28"/>
      <c r="O318" s="67"/>
      <c r="P318" s="26"/>
      <c r="Q318" s="67"/>
      <c r="R318" s="28"/>
      <c r="S318" s="27"/>
      <c r="T318" s="28"/>
      <c r="U318" s="27"/>
      <c r="V318" s="28"/>
      <c r="W318" s="68"/>
      <c r="X318" s="114" t="s">
        <v>509</v>
      </c>
      <c r="Y318" s="114"/>
      <c r="Z318" s="114"/>
      <c r="AA318" s="114"/>
      <c r="AB318" s="114"/>
      <c r="AC318" s="114"/>
    </row>
    <row r="319" spans="1:29" ht="28.5" hidden="1" customHeight="1" x14ac:dyDescent="0.2">
      <c r="A319" s="13" t="s">
        <v>9</v>
      </c>
      <c r="B319" s="111"/>
      <c r="C319" s="93" t="s">
        <v>36</v>
      </c>
      <c r="D319" s="40" t="s">
        <v>258</v>
      </c>
      <c r="E319" s="41" t="s">
        <v>270</v>
      </c>
      <c r="F319" s="40"/>
      <c r="G319" s="42" t="s">
        <v>193</v>
      </c>
      <c r="H319" s="43">
        <f>H318</f>
        <v>41.650999999999996</v>
      </c>
      <c r="I319" s="44"/>
      <c r="J319" s="45"/>
      <c r="K319" s="46"/>
      <c r="L319" s="17"/>
      <c r="M319" s="47"/>
      <c r="N319" s="18"/>
      <c r="O319" s="47"/>
      <c r="P319" s="17"/>
      <c r="Q319" s="47"/>
      <c r="R319" s="18"/>
      <c r="S319" s="48"/>
      <c r="T319" s="49"/>
      <c r="U319" s="48"/>
      <c r="V319" s="49"/>
      <c r="W319" s="29"/>
      <c r="X319" s="89"/>
      <c r="Y319" s="8"/>
      <c r="Z319" s="8"/>
      <c r="AA319" s="8"/>
      <c r="AB319" s="8"/>
      <c r="AC319" s="8"/>
    </row>
    <row r="320" spans="1:29" s="69" customFormat="1" ht="28.5" customHeight="1" x14ac:dyDescent="0.2">
      <c r="A320" s="66" t="s">
        <v>8</v>
      </c>
      <c r="B320" s="33" t="s">
        <v>275</v>
      </c>
      <c r="C320" s="23" t="s">
        <v>36</v>
      </c>
      <c r="D320" s="23" t="s">
        <v>258</v>
      </c>
      <c r="E320" s="24" t="s">
        <v>273</v>
      </c>
      <c r="F320" s="36"/>
      <c r="G320" s="37" t="s">
        <v>193</v>
      </c>
      <c r="H320" s="38">
        <f>19.835+2.317+1.86</f>
        <v>24.012</v>
      </c>
      <c r="I320" s="25"/>
      <c r="J320" s="34"/>
      <c r="K320" s="32"/>
      <c r="L320" s="26"/>
      <c r="M320" s="67"/>
      <c r="N320" s="28"/>
      <c r="O320" s="67"/>
      <c r="P320" s="26"/>
      <c r="Q320" s="67"/>
      <c r="R320" s="28"/>
      <c r="S320" s="27"/>
      <c r="T320" s="28"/>
      <c r="U320" s="27"/>
      <c r="V320" s="28"/>
      <c r="W320" s="68"/>
      <c r="X320" s="114" t="s">
        <v>509</v>
      </c>
      <c r="Y320" s="114"/>
      <c r="Z320" s="114"/>
      <c r="AA320" s="114"/>
      <c r="AB320" s="114"/>
      <c r="AC320" s="114"/>
    </row>
    <row r="321" spans="1:29" ht="28.5" hidden="1" customHeight="1" x14ac:dyDescent="0.2">
      <c r="A321" s="13" t="s">
        <v>9</v>
      </c>
      <c r="B321" s="111"/>
      <c r="C321" s="93" t="s">
        <v>36</v>
      </c>
      <c r="D321" s="40" t="s">
        <v>258</v>
      </c>
      <c r="E321" s="41" t="s">
        <v>274</v>
      </c>
      <c r="F321" s="40"/>
      <c r="G321" s="42" t="s">
        <v>193</v>
      </c>
      <c r="H321" s="43">
        <f>H320</f>
        <v>24.012</v>
      </c>
      <c r="I321" s="44"/>
      <c r="J321" s="45"/>
      <c r="K321" s="46"/>
      <c r="L321" s="17"/>
      <c r="M321" s="47"/>
      <c r="N321" s="18"/>
      <c r="O321" s="47"/>
      <c r="P321" s="17"/>
      <c r="Q321" s="47"/>
      <c r="R321" s="18"/>
      <c r="S321" s="48"/>
      <c r="T321" s="49"/>
      <c r="U321" s="48"/>
      <c r="V321" s="49"/>
      <c r="W321" s="29"/>
      <c r="X321" s="89"/>
      <c r="Y321" s="8"/>
      <c r="Z321" s="8"/>
      <c r="AA321" s="8"/>
      <c r="AB321" s="8"/>
      <c r="AC321" s="8"/>
    </row>
    <row r="322" spans="1:29" s="69" customFormat="1" ht="28.5" customHeight="1" x14ac:dyDescent="0.2">
      <c r="A322" s="66" t="s">
        <v>8</v>
      </c>
      <c r="B322" s="33" t="s">
        <v>504</v>
      </c>
      <c r="C322" s="23" t="s">
        <v>36</v>
      </c>
      <c r="D322" s="23" t="s">
        <v>258</v>
      </c>
      <c r="E322" s="24" t="s">
        <v>276</v>
      </c>
      <c r="F322" s="36"/>
      <c r="G322" s="37" t="s">
        <v>193</v>
      </c>
      <c r="H322" s="38">
        <f>(5.557+1.241+3.886+4.434+5.557)*1.103</f>
        <v>22.804525000000005</v>
      </c>
      <c r="I322" s="25"/>
      <c r="J322" s="34"/>
      <c r="K322" s="32"/>
      <c r="L322" s="26"/>
      <c r="M322" s="67"/>
      <c r="N322" s="28"/>
      <c r="O322" s="67"/>
      <c r="P322" s="26"/>
      <c r="Q322" s="67"/>
      <c r="R322" s="28"/>
      <c r="S322" s="27"/>
      <c r="T322" s="28"/>
      <c r="U322" s="27"/>
      <c r="V322" s="28"/>
      <c r="W322" s="68"/>
      <c r="X322" s="114" t="s">
        <v>509</v>
      </c>
      <c r="Y322" s="114"/>
      <c r="Z322" s="114"/>
      <c r="AA322" s="114"/>
      <c r="AB322" s="114"/>
      <c r="AC322" s="114"/>
    </row>
    <row r="323" spans="1:29" ht="28.5" hidden="1" customHeight="1" x14ac:dyDescent="0.2">
      <c r="A323" s="13" t="s">
        <v>9</v>
      </c>
      <c r="B323" s="111"/>
      <c r="C323" s="93" t="s">
        <v>36</v>
      </c>
      <c r="D323" s="40" t="s">
        <v>258</v>
      </c>
      <c r="E323" s="41" t="s">
        <v>343</v>
      </c>
      <c r="F323" s="40"/>
      <c r="G323" s="42" t="s">
        <v>193</v>
      </c>
      <c r="H323" s="43">
        <f>5.557</f>
        <v>5.5570000000000004</v>
      </c>
      <c r="I323" s="44"/>
      <c r="J323" s="45"/>
      <c r="K323" s="46"/>
      <c r="L323" s="17"/>
      <c r="M323" s="47"/>
      <c r="N323" s="18"/>
      <c r="O323" s="47"/>
      <c r="P323" s="17"/>
      <c r="Q323" s="47"/>
      <c r="R323" s="18"/>
      <c r="S323" s="48"/>
      <c r="T323" s="49"/>
      <c r="U323" s="48"/>
      <c r="V323" s="49"/>
      <c r="W323" s="29"/>
      <c r="X323" s="89"/>
      <c r="Y323" s="8"/>
      <c r="Z323" s="8"/>
      <c r="AA323" s="8"/>
      <c r="AB323" s="8"/>
      <c r="AC323" s="8"/>
    </row>
    <row r="324" spans="1:29" ht="28.5" hidden="1" customHeight="1" x14ac:dyDescent="0.2">
      <c r="A324" s="13" t="s">
        <v>9</v>
      </c>
      <c r="B324" s="111"/>
      <c r="C324" s="93" t="s">
        <v>36</v>
      </c>
      <c r="D324" s="40" t="s">
        <v>258</v>
      </c>
      <c r="E324" s="41" t="s">
        <v>343</v>
      </c>
      <c r="F324" s="40"/>
      <c r="G324" s="42" t="s">
        <v>193</v>
      </c>
      <c r="H324" s="43">
        <f>1.241</f>
        <v>1.2410000000000001</v>
      </c>
      <c r="I324" s="44"/>
      <c r="J324" s="45"/>
      <c r="K324" s="46"/>
      <c r="L324" s="17"/>
      <c r="M324" s="47"/>
      <c r="N324" s="18"/>
      <c r="O324" s="47"/>
      <c r="P324" s="17"/>
      <c r="Q324" s="47"/>
      <c r="R324" s="18"/>
      <c r="S324" s="48"/>
      <c r="T324" s="49"/>
      <c r="U324" s="48"/>
      <c r="V324" s="49"/>
      <c r="W324" s="29"/>
      <c r="X324" s="89"/>
      <c r="Y324" s="8"/>
      <c r="Z324" s="8"/>
      <c r="AA324" s="8"/>
      <c r="AB324" s="8"/>
      <c r="AC324" s="8"/>
    </row>
    <row r="325" spans="1:29" ht="28.5" hidden="1" customHeight="1" x14ac:dyDescent="0.2">
      <c r="A325" s="13" t="s">
        <v>9</v>
      </c>
      <c r="B325" s="111"/>
      <c r="C325" s="93" t="s">
        <v>36</v>
      </c>
      <c r="D325" s="40" t="s">
        <v>258</v>
      </c>
      <c r="E325" s="41" t="s">
        <v>343</v>
      </c>
      <c r="F325" s="40"/>
      <c r="G325" s="42" t="s">
        <v>193</v>
      </c>
      <c r="H325" s="43">
        <f>3.886</f>
        <v>3.8860000000000001</v>
      </c>
      <c r="I325" s="44"/>
      <c r="J325" s="45"/>
      <c r="K325" s="46"/>
      <c r="L325" s="17"/>
      <c r="M325" s="47"/>
      <c r="N325" s="18"/>
      <c r="O325" s="47"/>
      <c r="P325" s="17"/>
      <c r="Q325" s="47"/>
      <c r="R325" s="18"/>
      <c r="S325" s="48"/>
      <c r="T325" s="49"/>
      <c r="U325" s="48"/>
      <c r="V325" s="49"/>
      <c r="W325" s="29"/>
      <c r="X325" s="89"/>
      <c r="Y325" s="8"/>
      <c r="Z325" s="8"/>
      <c r="AA325" s="8"/>
      <c r="AB325" s="8"/>
      <c r="AC325" s="8"/>
    </row>
    <row r="326" spans="1:29" ht="28.5" hidden="1" customHeight="1" x14ac:dyDescent="0.2">
      <c r="A326" s="13" t="s">
        <v>9</v>
      </c>
      <c r="B326" s="111"/>
      <c r="C326" s="93" t="s">
        <v>36</v>
      </c>
      <c r="D326" s="40" t="s">
        <v>258</v>
      </c>
      <c r="E326" s="41" t="s">
        <v>343</v>
      </c>
      <c r="F326" s="40"/>
      <c r="G326" s="42" t="s">
        <v>193</v>
      </c>
      <c r="H326" s="43">
        <f>4.434</f>
        <v>4.4340000000000002</v>
      </c>
      <c r="I326" s="44"/>
      <c r="J326" s="45"/>
      <c r="K326" s="46"/>
      <c r="L326" s="17"/>
      <c r="M326" s="47"/>
      <c r="N326" s="18"/>
      <c r="O326" s="47"/>
      <c r="P326" s="17"/>
      <c r="Q326" s="47"/>
      <c r="R326" s="18"/>
      <c r="S326" s="48"/>
      <c r="T326" s="49"/>
      <c r="U326" s="48"/>
      <c r="V326" s="49"/>
      <c r="W326" s="29"/>
      <c r="X326" s="89"/>
      <c r="Y326" s="8"/>
      <c r="Z326" s="8"/>
      <c r="AA326" s="8"/>
      <c r="AB326" s="8"/>
      <c r="AC326" s="8"/>
    </row>
    <row r="327" spans="1:29" ht="28.5" hidden="1" customHeight="1" x14ac:dyDescent="0.2">
      <c r="A327" s="13" t="s">
        <v>9</v>
      </c>
      <c r="B327" s="111"/>
      <c r="C327" s="93" t="s">
        <v>36</v>
      </c>
      <c r="D327" s="40" t="s">
        <v>258</v>
      </c>
      <c r="E327" s="41" t="s">
        <v>343</v>
      </c>
      <c r="F327" s="40"/>
      <c r="G327" s="42" t="s">
        <v>193</v>
      </c>
      <c r="H327" s="43">
        <f>5.557</f>
        <v>5.5570000000000004</v>
      </c>
      <c r="I327" s="44"/>
      <c r="J327" s="45"/>
      <c r="K327" s="46"/>
      <c r="L327" s="17"/>
      <c r="M327" s="47"/>
      <c r="N327" s="18"/>
      <c r="O327" s="47"/>
      <c r="P327" s="17"/>
      <c r="Q327" s="47"/>
      <c r="R327" s="18"/>
      <c r="S327" s="48"/>
      <c r="T327" s="49"/>
      <c r="U327" s="48"/>
      <c r="V327" s="49"/>
      <c r="W327" s="29"/>
      <c r="X327" s="89"/>
      <c r="Y327" s="8"/>
      <c r="Z327" s="8"/>
      <c r="AA327" s="8"/>
      <c r="AB327" s="8"/>
      <c r="AC327" s="8"/>
    </row>
    <row r="328" spans="1:29" s="85" customFormat="1" ht="28.5" customHeight="1" x14ac:dyDescent="0.2">
      <c r="A328" s="70" t="s">
        <v>14</v>
      </c>
      <c r="B328" s="71">
        <v>14</v>
      </c>
      <c r="C328" s="72" t="s">
        <v>36</v>
      </c>
      <c r="D328" s="75" t="s">
        <v>258</v>
      </c>
      <c r="E328" s="74" t="s">
        <v>264</v>
      </c>
      <c r="F328" s="75"/>
      <c r="G328" s="73"/>
      <c r="H328" s="76"/>
      <c r="I328" s="77"/>
      <c r="J328" s="76"/>
      <c r="K328" s="78"/>
      <c r="L328" s="79"/>
      <c r="M328" s="80"/>
      <c r="N328" s="81"/>
      <c r="O328" s="82"/>
      <c r="P328" s="79"/>
      <c r="Q328" s="80"/>
      <c r="R328" s="81"/>
      <c r="S328" s="80"/>
      <c r="T328" s="83"/>
      <c r="U328" s="84"/>
      <c r="V328" s="83"/>
    </row>
    <row r="329" spans="1:29" s="69" customFormat="1" ht="28.5" customHeight="1" x14ac:dyDescent="0.2">
      <c r="A329" s="66" t="s">
        <v>8</v>
      </c>
      <c r="B329" s="33" t="s">
        <v>261</v>
      </c>
      <c r="C329" s="23" t="s">
        <v>36</v>
      </c>
      <c r="D329" s="23" t="s">
        <v>258</v>
      </c>
      <c r="E329" s="24" t="s">
        <v>364</v>
      </c>
      <c r="F329" s="36"/>
      <c r="G329" s="37" t="s">
        <v>193</v>
      </c>
      <c r="H329" s="38">
        <f>2.44+1.15+0.86+8.88+2.2+0.86+4.78+1.15+1.16+1.16+2.3+1.16+1.16+2.3+1.16+2.23</f>
        <v>34.949999999999996</v>
      </c>
      <c r="I329" s="25"/>
      <c r="J329" s="34"/>
      <c r="K329" s="32"/>
      <c r="L329" s="26"/>
      <c r="M329" s="67"/>
      <c r="N329" s="28"/>
      <c r="O329" s="67"/>
      <c r="P329" s="26"/>
      <c r="Q329" s="67"/>
      <c r="R329" s="28"/>
      <c r="S329" s="27"/>
      <c r="T329" s="28"/>
      <c r="U329" s="27"/>
      <c r="V329" s="28"/>
      <c r="W329" s="68"/>
      <c r="X329" s="114" t="s">
        <v>509</v>
      </c>
      <c r="Y329" s="114"/>
      <c r="Z329" s="114"/>
      <c r="AA329" s="114"/>
      <c r="AB329" s="114"/>
      <c r="AC329" s="114"/>
    </row>
    <row r="330" spans="1:29" ht="28.5" hidden="1" customHeight="1" x14ac:dyDescent="0.2">
      <c r="A330" s="13" t="s">
        <v>9</v>
      </c>
      <c r="B330" s="111"/>
      <c r="C330" s="93" t="s">
        <v>36</v>
      </c>
      <c r="D330" s="40" t="s">
        <v>258</v>
      </c>
      <c r="E330" s="41" t="s">
        <v>457</v>
      </c>
      <c r="F330" s="40"/>
      <c r="G330" s="42" t="s">
        <v>193</v>
      </c>
      <c r="H330" s="43">
        <f>H329*1.15</f>
        <v>40.192499999999995</v>
      </c>
      <c r="I330" s="44"/>
      <c r="J330" s="45"/>
      <c r="K330" s="46"/>
      <c r="L330" s="17"/>
      <c r="M330" s="47"/>
      <c r="N330" s="18"/>
      <c r="O330" s="47"/>
      <c r="P330" s="17"/>
      <c r="Q330" s="47"/>
      <c r="R330" s="18"/>
      <c r="S330" s="48"/>
      <c r="T330" s="49"/>
      <c r="U330" s="48"/>
      <c r="V330" s="49"/>
      <c r="W330" s="29"/>
      <c r="X330" s="89" t="s">
        <v>198</v>
      </c>
      <c r="Y330" s="8"/>
      <c r="Z330" s="8"/>
      <c r="AA330" s="8"/>
      <c r="AB330" s="8"/>
      <c r="AC330" s="8"/>
    </row>
    <row r="331" spans="1:29" ht="28.5" hidden="1" customHeight="1" x14ac:dyDescent="0.2">
      <c r="A331" s="13" t="s">
        <v>9</v>
      </c>
      <c r="B331" s="111"/>
      <c r="C331" s="93" t="s">
        <v>36</v>
      </c>
      <c r="D331" s="40" t="s">
        <v>258</v>
      </c>
      <c r="E331" s="41" t="s">
        <v>204</v>
      </c>
      <c r="F331" s="40"/>
      <c r="G331" s="42" t="s">
        <v>193</v>
      </c>
      <c r="H331" s="43">
        <f>H329*1.15</f>
        <v>40.192499999999995</v>
      </c>
      <c r="I331" s="44"/>
      <c r="J331" s="45"/>
      <c r="K331" s="46"/>
      <c r="L331" s="17"/>
      <c r="M331" s="47"/>
      <c r="N331" s="18"/>
      <c r="O331" s="47"/>
      <c r="P331" s="17"/>
      <c r="Q331" s="47"/>
      <c r="R331" s="18"/>
      <c r="S331" s="48"/>
      <c r="T331" s="49"/>
      <c r="U331" s="48"/>
      <c r="V331" s="49"/>
      <c r="W331" s="29"/>
      <c r="X331" s="89" t="s">
        <v>198</v>
      </c>
      <c r="Y331" s="8"/>
      <c r="Z331" s="8"/>
      <c r="AA331" s="8"/>
      <c r="AB331" s="8"/>
      <c r="AC331" s="8"/>
    </row>
    <row r="332" spans="1:29" s="69" customFormat="1" ht="28.5" customHeight="1" x14ac:dyDescent="0.2">
      <c r="A332" s="66" t="s">
        <v>8</v>
      </c>
      <c r="B332" s="33" t="s">
        <v>285</v>
      </c>
      <c r="C332" s="23" t="s">
        <v>36</v>
      </c>
      <c r="D332" s="23" t="s">
        <v>258</v>
      </c>
      <c r="E332" s="24" t="s">
        <v>502</v>
      </c>
      <c r="F332" s="36"/>
      <c r="G332" s="37" t="s">
        <v>193</v>
      </c>
      <c r="H332" s="38">
        <f>12*15.647</f>
        <v>187.76400000000001</v>
      </c>
      <c r="I332" s="25"/>
      <c r="J332" s="34"/>
      <c r="K332" s="32"/>
      <c r="L332" s="26"/>
      <c r="M332" s="67"/>
      <c r="N332" s="28"/>
      <c r="O332" s="67"/>
      <c r="P332" s="26"/>
      <c r="Q332" s="67"/>
      <c r="R332" s="28"/>
      <c r="S332" s="27"/>
      <c r="T332" s="28"/>
      <c r="U332" s="27"/>
      <c r="V332" s="28"/>
      <c r="W332" s="68"/>
      <c r="X332" s="114" t="s">
        <v>509</v>
      </c>
      <c r="Y332" s="114"/>
      <c r="Z332" s="114"/>
      <c r="AA332" s="114"/>
      <c r="AB332" s="114"/>
      <c r="AC332" s="114"/>
    </row>
    <row r="333" spans="1:29" ht="28.5" hidden="1" customHeight="1" x14ac:dyDescent="0.2">
      <c r="A333" s="13" t="s">
        <v>9</v>
      </c>
      <c r="B333" s="111"/>
      <c r="C333" s="93" t="s">
        <v>36</v>
      </c>
      <c r="D333" s="40" t="s">
        <v>258</v>
      </c>
      <c r="E333" s="41" t="s">
        <v>503</v>
      </c>
      <c r="F333" s="40"/>
      <c r="G333" s="42" t="s">
        <v>193</v>
      </c>
      <c r="H333" s="43">
        <f>H332*1.15</f>
        <v>215.92859999999999</v>
      </c>
      <c r="I333" s="44"/>
      <c r="J333" s="45"/>
      <c r="K333" s="46"/>
      <c r="L333" s="17"/>
      <c r="M333" s="47"/>
      <c r="N333" s="18"/>
      <c r="O333" s="47"/>
      <c r="P333" s="17"/>
      <c r="Q333" s="47"/>
      <c r="R333" s="18"/>
      <c r="S333" s="48"/>
      <c r="T333" s="49"/>
      <c r="U333" s="48"/>
      <c r="V333" s="49"/>
      <c r="W333" s="29"/>
      <c r="X333" s="89" t="s">
        <v>198</v>
      </c>
      <c r="Y333" s="8"/>
      <c r="Z333" s="8"/>
      <c r="AA333" s="8"/>
      <c r="AB333" s="8"/>
      <c r="AC333" s="8"/>
    </row>
    <row r="334" spans="1:29" s="69" customFormat="1" ht="28.5" customHeight="1" x14ac:dyDescent="0.2">
      <c r="A334" s="66" t="s">
        <v>8</v>
      </c>
      <c r="B334" s="33" t="s">
        <v>286</v>
      </c>
      <c r="C334" s="23" t="s">
        <v>36</v>
      </c>
      <c r="D334" s="23" t="s">
        <v>258</v>
      </c>
      <c r="E334" s="24" t="s">
        <v>268</v>
      </c>
      <c r="F334" s="36"/>
      <c r="G334" s="37" t="s">
        <v>193</v>
      </c>
      <c r="H334" s="38">
        <f>3.785+10.665+3+9+3.226+4.5+4.5+5.789</f>
        <v>44.465000000000003</v>
      </c>
      <c r="I334" s="25"/>
      <c r="J334" s="34"/>
      <c r="K334" s="32"/>
      <c r="L334" s="26"/>
      <c r="M334" s="67"/>
      <c r="N334" s="28"/>
      <c r="O334" s="67"/>
      <c r="P334" s="26"/>
      <c r="Q334" s="67"/>
      <c r="R334" s="28"/>
      <c r="S334" s="27"/>
      <c r="T334" s="28"/>
      <c r="U334" s="27"/>
      <c r="V334" s="28"/>
      <c r="W334" s="68"/>
      <c r="X334" s="114" t="s">
        <v>509</v>
      </c>
      <c r="Y334" s="114"/>
      <c r="Z334" s="114"/>
      <c r="AA334" s="114"/>
      <c r="AB334" s="114"/>
      <c r="AC334" s="114"/>
    </row>
    <row r="335" spans="1:29" ht="28.5" hidden="1" customHeight="1" x14ac:dyDescent="0.2">
      <c r="A335" s="13" t="s">
        <v>9</v>
      </c>
      <c r="B335" s="111"/>
      <c r="C335" s="93" t="s">
        <v>36</v>
      </c>
      <c r="D335" s="40" t="s">
        <v>258</v>
      </c>
      <c r="E335" s="41" t="s">
        <v>269</v>
      </c>
      <c r="F335" s="40"/>
      <c r="G335" s="42" t="s">
        <v>193</v>
      </c>
      <c r="H335" s="43">
        <f>H334</f>
        <v>44.465000000000003</v>
      </c>
      <c r="I335" s="44"/>
      <c r="J335" s="45"/>
      <c r="K335" s="46"/>
      <c r="L335" s="17"/>
      <c r="M335" s="47"/>
      <c r="N335" s="18"/>
      <c r="O335" s="47"/>
      <c r="P335" s="17"/>
      <c r="Q335" s="47"/>
      <c r="R335" s="18"/>
      <c r="S335" s="48"/>
      <c r="T335" s="49"/>
      <c r="U335" s="48"/>
      <c r="V335" s="49"/>
      <c r="W335" s="29"/>
      <c r="X335" s="89"/>
      <c r="Y335" s="8"/>
      <c r="Z335" s="8"/>
      <c r="AA335" s="8"/>
      <c r="AB335" s="8"/>
      <c r="AC335" s="8"/>
    </row>
    <row r="336" spans="1:29" s="69" customFormat="1" ht="28.5" customHeight="1" x14ac:dyDescent="0.2">
      <c r="A336" s="66" t="s">
        <v>8</v>
      </c>
      <c r="B336" s="33" t="s">
        <v>287</v>
      </c>
      <c r="C336" s="23" t="s">
        <v>36</v>
      </c>
      <c r="D336" s="23" t="s">
        <v>258</v>
      </c>
      <c r="E336" s="24" t="s">
        <v>363</v>
      </c>
      <c r="F336" s="36"/>
      <c r="G336" s="37" t="s">
        <v>193</v>
      </c>
      <c r="H336" s="38">
        <f>3.336+3.202+8.67+3.221+5.718+4.358+4.358</f>
        <v>32.863</v>
      </c>
      <c r="I336" s="25"/>
      <c r="J336" s="34"/>
      <c r="K336" s="32"/>
      <c r="L336" s="26"/>
      <c r="M336" s="67"/>
      <c r="N336" s="28"/>
      <c r="O336" s="67"/>
      <c r="P336" s="26"/>
      <c r="Q336" s="67"/>
      <c r="R336" s="28"/>
      <c r="S336" s="27"/>
      <c r="T336" s="28"/>
      <c r="U336" s="27"/>
      <c r="V336" s="28"/>
      <c r="W336" s="68"/>
      <c r="X336" s="114" t="s">
        <v>509</v>
      </c>
      <c r="Y336" s="114"/>
      <c r="Z336" s="114"/>
      <c r="AA336" s="114"/>
      <c r="AB336" s="114"/>
      <c r="AC336" s="114"/>
    </row>
    <row r="337" spans="1:29" ht="28.5" hidden="1" customHeight="1" x14ac:dyDescent="0.2">
      <c r="A337" s="13" t="s">
        <v>9</v>
      </c>
      <c r="B337" s="111"/>
      <c r="C337" s="93" t="s">
        <v>36</v>
      </c>
      <c r="D337" s="40" t="s">
        <v>258</v>
      </c>
      <c r="E337" s="41" t="s">
        <v>270</v>
      </c>
      <c r="F337" s="40"/>
      <c r="G337" s="42" t="s">
        <v>193</v>
      </c>
      <c r="H337" s="43">
        <f>H336</f>
        <v>32.863</v>
      </c>
      <c r="I337" s="44"/>
      <c r="J337" s="45"/>
      <c r="K337" s="46"/>
      <c r="L337" s="17"/>
      <c r="M337" s="47"/>
      <c r="N337" s="18"/>
      <c r="O337" s="47"/>
      <c r="P337" s="17"/>
      <c r="Q337" s="47"/>
      <c r="R337" s="18"/>
      <c r="S337" s="48"/>
      <c r="T337" s="49"/>
      <c r="U337" s="48"/>
      <c r="V337" s="49"/>
      <c r="W337" s="29"/>
      <c r="X337" s="89"/>
      <c r="Y337" s="8"/>
      <c r="Z337" s="8"/>
      <c r="AA337" s="8"/>
      <c r="AB337" s="8"/>
      <c r="AC337" s="8"/>
    </row>
    <row r="338" spans="1:29" s="69" customFormat="1" ht="28.5" customHeight="1" x14ac:dyDescent="0.2">
      <c r="A338" s="66" t="s">
        <v>8</v>
      </c>
      <c r="B338" s="33" t="s">
        <v>288</v>
      </c>
      <c r="C338" s="23" t="s">
        <v>36</v>
      </c>
      <c r="D338" s="23" t="s">
        <v>258</v>
      </c>
      <c r="E338" s="24" t="s">
        <v>273</v>
      </c>
      <c r="F338" s="36"/>
      <c r="G338" s="37" t="s">
        <v>193</v>
      </c>
      <c r="H338" s="38">
        <f>7.289+27.767</f>
        <v>35.055999999999997</v>
      </c>
      <c r="I338" s="25"/>
      <c r="J338" s="34"/>
      <c r="K338" s="32"/>
      <c r="L338" s="26"/>
      <c r="M338" s="67"/>
      <c r="N338" s="28"/>
      <c r="O338" s="67"/>
      <c r="P338" s="26"/>
      <c r="Q338" s="67"/>
      <c r="R338" s="28"/>
      <c r="S338" s="27"/>
      <c r="T338" s="28"/>
      <c r="U338" s="27"/>
      <c r="V338" s="28"/>
      <c r="W338" s="68"/>
      <c r="X338" s="114" t="s">
        <v>509</v>
      </c>
      <c r="Y338" s="114"/>
      <c r="Z338" s="114"/>
      <c r="AA338" s="114"/>
      <c r="AB338" s="114"/>
      <c r="AC338" s="114"/>
    </row>
    <row r="339" spans="1:29" ht="28.5" hidden="1" customHeight="1" x14ac:dyDescent="0.2">
      <c r="A339" s="13" t="s">
        <v>9</v>
      </c>
      <c r="B339" s="111"/>
      <c r="C339" s="93" t="s">
        <v>36</v>
      </c>
      <c r="D339" s="40" t="s">
        <v>258</v>
      </c>
      <c r="E339" s="41" t="s">
        <v>274</v>
      </c>
      <c r="F339" s="40"/>
      <c r="G339" s="42" t="s">
        <v>193</v>
      </c>
      <c r="H339" s="43">
        <f>H338</f>
        <v>35.055999999999997</v>
      </c>
      <c r="I339" s="44"/>
      <c r="J339" s="45"/>
      <c r="K339" s="46"/>
      <c r="L339" s="17"/>
      <c r="M339" s="47"/>
      <c r="N339" s="18"/>
      <c r="O339" s="47"/>
      <c r="P339" s="17"/>
      <c r="Q339" s="47"/>
      <c r="R339" s="18"/>
      <c r="S339" s="48"/>
      <c r="T339" s="49"/>
      <c r="U339" s="48"/>
      <c r="V339" s="49"/>
      <c r="W339" s="29"/>
      <c r="X339" s="89"/>
      <c r="Y339" s="8"/>
      <c r="Z339" s="8"/>
      <c r="AA339" s="8"/>
      <c r="AB339" s="8"/>
      <c r="AC339" s="8"/>
    </row>
    <row r="340" spans="1:29" s="69" customFormat="1" ht="28.5" customHeight="1" x14ac:dyDescent="0.2">
      <c r="A340" s="66" t="s">
        <v>8</v>
      </c>
      <c r="B340" s="33" t="s">
        <v>505</v>
      </c>
      <c r="C340" s="23" t="s">
        <v>36</v>
      </c>
      <c r="D340" s="23" t="s">
        <v>258</v>
      </c>
      <c r="E340" s="24" t="s">
        <v>276</v>
      </c>
      <c r="F340" s="36"/>
      <c r="G340" s="37" t="s">
        <v>193</v>
      </c>
      <c r="H340" s="38">
        <f>(4.895+5.707+2.483+2.803+2.803+2.803)*1.103</f>
        <v>23.707882000000005</v>
      </c>
      <c r="I340" s="25"/>
      <c r="J340" s="34"/>
      <c r="K340" s="32"/>
      <c r="L340" s="26"/>
      <c r="M340" s="67"/>
      <c r="N340" s="28"/>
      <c r="O340" s="67"/>
      <c r="P340" s="26"/>
      <c r="Q340" s="67"/>
      <c r="R340" s="28"/>
      <c r="S340" s="27"/>
      <c r="T340" s="28"/>
      <c r="U340" s="27"/>
      <c r="V340" s="28"/>
      <c r="W340" s="68"/>
      <c r="X340" s="114" t="s">
        <v>509</v>
      </c>
      <c r="Y340" s="114"/>
      <c r="Z340" s="114"/>
      <c r="AA340" s="114"/>
      <c r="AB340" s="114"/>
      <c r="AC340" s="114"/>
    </row>
    <row r="341" spans="1:29" ht="28.5" hidden="1" customHeight="1" x14ac:dyDescent="0.2">
      <c r="A341" s="13" t="s">
        <v>9</v>
      </c>
      <c r="B341" s="111"/>
      <c r="C341" s="93" t="s">
        <v>36</v>
      </c>
      <c r="D341" s="40" t="s">
        <v>258</v>
      </c>
      <c r="E341" s="41" t="s">
        <v>343</v>
      </c>
      <c r="F341" s="40"/>
      <c r="G341" s="42" t="s">
        <v>193</v>
      </c>
      <c r="H341" s="43">
        <f>4.895</f>
        <v>4.8949999999999996</v>
      </c>
      <c r="I341" s="44"/>
      <c r="J341" s="45"/>
      <c r="K341" s="46"/>
      <c r="L341" s="17"/>
      <c r="M341" s="47"/>
      <c r="N341" s="18"/>
      <c r="O341" s="47"/>
      <c r="P341" s="17"/>
      <c r="Q341" s="47"/>
      <c r="R341" s="18"/>
      <c r="S341" s="48"/>
      <c r="T341" s="49"/>
      <c r="U341" s="48"/>
      <c r="V341" s="49"/>
      <c r="W341" s="29"/>
      <c r="X341" s="89"/>
      <c r="Y341" s="8"/>
      <c r="Z341" s="8"/>
      <c r="AA341" s="8"/>
      <c r="AB341" s="8"/>
      <c r="AC341" s="8"/>
    </row>
    <row r="342" spans="1:29" ht="28.5" hidden="1" customHeight="1" x14ac:dyDescent="0.2">
      <c r="A342" s="13" t="s">
        <v>9</v>
      </c>
      <c r="B342" s="111"/>
      <c r="C342" s="93" t="s">
        <v>36</v>
      </c>
      <c r="D342" s="40" t="s">
        <v>258</v>
      </c>
      <c r="E342" s="41" t="s">
        <v>343</v>
      </c>
      <c r="F342" s="40"/>
      <c r="G342" s="42" t="s">
        <v>193</v>
      </c>
      <c r="H342" s="43">
        <f>5.707</f>
        <v>5.7069999999999999</v>
      </c>
      <c r="I342" s="44"/>
      <c r="J342" s="45"/>
      <c r="K342" s="46"/>
      <c r="L342" s="17"/>
      <c r="M342" s="47"/>
      <c r="N342" s="18"/>
      <c r="O342" s="47"/>
      <c r="P342" s="17"/>
      <c r="Q342" s="47"/>
      <c r="R342" s="18"/>
      <c r="S342" s="48"/>
      <c r="T342" s="49"/>
      <c r="U342" s="48"/>
      <c r="V342" s="49"/>
      <c r="W342" s="29"/>
      <c r="X342" s="89"/>
      <c r="Y342" s="8"/>
      <c r="Z342" s="8"/>
      <c r="AA342" s="8"/>
      <c r="AB342" s="8"/>
      <c r="AC342" s="8"/>
    </row>
    <row r="343" spans="1:29" ht="28.5" hidden="1" customHeight="1" x14ac:dyDescent="0.2">
      <c r="A343" s="13" t="s">
        <v>9</v>
      </c>
      <c r="B343" s="111"/>
      <c r="C343" s="93" t="s">
        <v>36</v>
      </c>
      <c r="D343" s="40" t="s">
        <v>258</v>
      </c>
      <c r="E343" s="41" t="s">
        <v>343</v>
      </c>
      <c r="F343" s="40"/>
      <c r="G343" s="42" t="s">
        <v>193</v>
      </c>
      <c r="H343" s="43">
        <f>2.483</f>
        <v>2.4830000000000001</v>
      </c>
      <c r="I343" s="44"/>
      <c r="J343" s="45"/>
      <c r="K343" s="46"/>
      <c r="L343" s="17"/>
      <c r="M343" s="47"/>
      <c r="N343" s="18"/>
      <c r="O343" s="47"/>
      <c r="P343" s="17"/>
      <c r="Q343" s="47"/>
      <c r="R343" s="18"/>
      <c r="S343" s="48"/>
      <c r="T343" s="49"/>
      <c r="U343" s="48"/>
      <c r="V343" s="49"/>
      <c r="W343" s="29"/>
      <c r="X343" s="89"/>
      <c r="Y343" s="8"/>
      <c r="Z343" s="8"/>
      <c r="AA343" s="8"/>
      <c r="AB343" s="8"/>
      <c r="AC343" s="8"/>
    </row>
    <row r="344" spans="1:29" ht="28.5" hidden="1" customHeight="1" x14ac:dyDescent="0.2">
      <c r="A344" s="13" t="s">
        <v>9</v>
      </c>
      <c r="B344" s="111"/>
      <c r="C344" s="93" t="s">
        <v>36</v>
      </c>
      <c r="D344" s="40" t="s">
        <v>258</v>
      </c>
      <c r="E344" s="41" t="s">
        <v>343</v>
      </c>
      <c r="F344" s="40"/>
      <c r="G344" s="42" t="s">
        <v>193</v>
      </c>
      <c r="H344" s="43">
        <f>2.803</f>
        <v>2.8029999999999999</v>
      </c>
      <c r="I344" s="44"/>
      <c r="J344" s="45"/>
      <c r="K344" s="46"/>
      <c r="L344" s="17"/>
      <c r="M344" s="47"/>
      <c r="N344" s="18"/>
      <c r="O344" s="47"/>
      <c r="P344" s="17"/>
      <c r="Q344" s="47"/>
      <c r="R344" s="18"/>
      <c r="S344" s="48"/>
      <c r="T344" s="49"/>
      <c r="U344" s="48"/>
      <c r="V344" s="49"/>
      <c r="W344" s="29"/>
      <c r="X344" s="89"/>
      <c r="Y344" s="8"/>
      <c r="Z344" s="8"/>
      <c r="AA344" s="8"/>
      <c r="AB344" s="8"/>
      <c r="AC344" s="8"/>
    </row>
    <row r="345" spans="1:29" ht="28.5" hidden="1" customHeight="1" x14ac:dyDescent="0.2">
      <c r="A345" s="13" t="s">
        <v>9</v>
      </c>
      <c r="B345" s="111"/>
      <c r="C345" s="93" t="s">
        <v>36</v>
      </c>
      <c r="D345" s="40" t="s">
        <v>258</v>
      </c>
      <c r="E345" s="41" t="s">
        <v>343</v>
      </c>
      <c r="F345" s="40"/>
      <c r="G345" s="42" t="s">
        <v>193</v>
      </c>
      <c r="H345" s="43">
        <f>2.803</f>
        <v>2.8029999999999999</v>
      </c>
      <c r="I345" s="44"/>
      <c r="J345" s="45"/>
      <c r="K345" s="46"/>
      <c r="L345" s="17"/>
      <c r="M345" s="47"/>
      <c r="N345" s="18"/>
      <c r="O345" s="47"/>
      <c r="P345" s="17"/>
      <c r="Q345" s="47"/>
      <c r="R345" s="18"/>
      <c r="S345" s="48"/>
      <c r="T345" s="49"/>
      <c r="U345" s="48"/>
      <c r="V345" s="49"/>
      <c r="W345" s="29"/>
      <c r="X345" s="89"/>
      <c r="Y345" s="8"/>
      <c r="Z345" s="8"/>
      <c r="AA345" s="8"/>
      <c r="AB345" s="8"/>
      <c r="AC345" s="8"/>
    </row>
    <row r="346" spans="1:29" ht="28.5" hidden="1" customHeight="1" x14ac:dyDescent="0.2">
      <c r="A346" s="13" t="s">
        <v>9</v>
      </c>
      <c r="B346" s="111"/>
      <c r="C346" s="93" t="s">
        <v>36</v>
      </c>
      <c r="D346" s="40" t="s">
        <v>258</v>
      </c>
      <c r="E346" s="41" t="s">
        <v>343</v>
      </c>
      <c r="F346" s="40"/>
      <c r="G346" s="42" t="s">
        <v>193</v>
      </c>
      <c r="H346" s="43">
        <f>2.803</f>
        <v>2.8029999999999999</v>
      </c>
      <c r="I346" s="44"/>
      <c r="J346" s="45"/>
      <c r="K346" s="46"/>
      <c r="L346" s="17"/>
      <c r="M346" s="47"/>
      <c r="N346" s="18"/>
      <c r="O346" s="47"/>
      <c r="P346" s="17"/>
      <c r="Q346" s="47"/>
      <c r="R346" s="18"/>
      <c r="S346" s="48"/>
      <c r="T346" s="49"/>
      <c r="U346" s="48"/>
      <c r="V346" s="49"/>
      <c r="W346" s="29"/>
      <c r="X346" s="89"/>
      <c r="Y346" s="8"/>
      <c r="Z346" s="8"/>
      <c r="AA346" s="8"/>
      <c r="AB346" s="8"/>
      <c r="AC346" s="8"/>
    </row>
    <row r="347" spans="1:29" s="85" customFormat="1" ht="28.5" customHeight="1" x14ac:dyDescent="0.2">
      <c r="A347" s="70" t="s">
        <v>14</v>
      </c>
      <c r="B347" s="71">
        <v>15</v>
      </c>
      <c r="C347" s="72" t="s">
        <v>36</v>
      </c>
      <c r="D347" s="75" t="s">
        <v>258</v>
      </c>
      <c r="E347" s="74" t="s">
        <v>265</v>
      </c>
      <c r="F347" s="75"/>
      <c r="G347" s="73"/>
      <c r="H347" s="76"/>
      <c r="I347" s="77"/>
      <c r="J347" s="76"/>
      <c r="K347" s="78"/>
      <c r="L347" s="79"/>
      <c r="M347" s="80"/>
      <c r="N347" s="81"/>
      <c r="O347" s="82"/>
      <c r="P347" s="79"/>
      <c r="Q347" s="80"/>
      <c r="R347" s="81"/>
      <c r="S347" s="80"/>
      <c r="T347" s="83"/>
      <c r="U347" s="84"/>
      <c r="V347" s="83"/>
    </row>
    <row r="348" spans="1:29" s="69" customFormat="1" ht="28.5" customHeight="1" x14ac:dyDescent="0.2">
      <c r="A348" s="66" t="s">
        <v>8</v>
      </c>
      <c r="B348" s="33" t="s">
        <v>262</v>
      </c>
      <c r="C348" s="23" t="s">
        <v>36</v>
      </c>
      <c r="D348" s="23" t="s">
        <v>258</v>
      </c>
      <c r="E348" s="24" t="s">
        <v>364</v>
      </c>
      <c r="F348" s="36"/>
      <c r="G348" s="37" t="s">
        <v>193</v>
      </c>
      <c r="H348" s="38">
        <f>4.735+5.309+10.46+1.16+7.841+0.86+9.28+0.86+13.24</f>
        <v>53.745000000000005</v>
      </c>
      <c r="I348" s="25"/>
      <c r="J348" s="34"/>
      <c r="K348" s="32"/>
      <c r="L348" s="26"/>
      <c r="M348" s="67"/>
      <c r="N348" s="28"/>
      <c r="O348" s="67"/>
      <c r="P348" s="26"/>
      <c r="Q348" s="67"/>
      <c r="R348" s="28"/>
      <c r="S348" s="27"/>
      <c r="T348" s="28"/>
      <c r="U348" s="27"/>
      <c r="V348" s="28"/>
      <c r="W348" s="68"/>
      <c r="X348" s="114" t="s">
        <v>509</v>
      </c>
      <c r="Y348" s="114"/>
      <c r="Z348" s="114"/>
      <c r="AA348" s="114"/>
      <c r="AB348" s="114"/>
      <c r="AC348" s="114"/>
    </row>
    <row r="349" spans="1:29" ht="28.5" hidden="1" customHeight="1" x14ac:dyDescent="0.2">
      <c r="A349" s="13" t="s">
        <v>9</v>
      </c>
      <c r="B349" s="111"/>
      <c r="C349" s="93" t="s">
        <v>36</v>
      </c>
      <c r="D349" s="40" t="s">
        <v>258</v>
      </c>
      <c r="E349" s="41" t="s">
        <v>457</v>
      </c>
      <c r="F349" s="40"/>
      <c r="G349" s="42" t="s">
        <v>193</v>
      </c>
      <c r="H349" s="43">
        <f>H348*1.15</f>
        <v>61.806750000000001</v>
      </c>
      <c r="I349" s="44"/>
      <c r="J349" s="45"/>
      <c r="K349" s="46"/>
      <c r="L349" s="17"/>
      <c r="M349" s="47"/>
      <c r="N349" s="18"/>
      <c r="O349" s="47"/>
      <c r="P349" s="17"/>
      <c r="Q349" s="47"/>
      <c r="R349" s="18"/>
      <c r="S349" s="48"/>
      <c r="T349" s="49"/>
      <c r="U349" s="48"/>
      <c r="V349" s="49"/>
      <c r="W349" s="29"/>
      <c r="X349" s="89" t="s">
        <v>198</v>
      </c>
      <c r="Y349" s="8"/>
      <c r="Z349" s="8"/>
      <c r="AA349" s="8"/>
      <c r="AB349" s="8"/>
      <c r="AC349" s="8"/>
    </row>
    <row r="350" spans="1:29" ht="28.5" hidden="1" customHeight="1" x14ac:dyDescent="0.2">
      <c r="A350" s="13" t="s">
        <v>9</v>
      </c>
      <c r="B350" s="111"/>
      <c r="C350" s="93" t="s">
        <v>36</v>
      </c>
      <c r="D350" s="40" t="s">
        <v>258</v>
      </c>
      <c r="E350" s="41" t="s">
        <v>204</v>
      </c>
      <c r="F350" s="40"/>
      <c r="G350" s="42" t="s">
        <v>193</v>
      </c>
      <c r="H350" s="43">
        <f>H348*1.15</f>
        <v>61.806750000000001</v>
      </c>
      <c r="I350" s="44"/>
      <c r="J350" s="45"/>
      <c r="K350" s="46"/>
      <c r="L350" s="17"/>
      <c r="M350" s="47"/>
      <c r="N350" s="18"/>
      <c r="O350" s="47"/>
      <c r="P350" s="17"/>
      <c r="Q350" s="47"/>
      <c r="R350" s="18"/>
      <c r="S350" s="48"/>
      <c r="T350" s="49"/>
      <c r="U350" s="48"/>
      <c r="V350" s="49"/>
      <c r="W350" s="29"/>
      <c r="X350" s="89" t="s">
        <v>198</v>
      </c>
      <c r="Y350" s="8"/>
      <c r="Z350" s="8"/>
      <c r="AA350" s="8"/>
      <c r="AB350" s="8"/>
      <c r="AC350" s="8"/>
    </row>
    <row r="351" spans="1:29" s="69" customFormat="1" ht="28.5" customHeight="1" x14ac:dyDescent="0.2">
      <c r="A351" s="66" t="s">
        <v>8</v>
      </c>
      <c r="B351" s="33" t="s">
        <v>281</v>
      </c>
      <c r="C351" s="23" t="s">
        <v>36</v>
      </c>
      <c r="D351" s="23" t="s">
        <v>258</v>
      </c>
      <c r="E351" s="24" t="s">
        <v>502</v>
      </c>
      <c r="F351" s="36"/>
      <c r="G351" s="37" t="s">
        <v>193</v>
      </c>
      <c r="H351" s="38">
        <f>6*15.647</f>
        <v>93.882000000000005</v>
      </c>
      <c r="I351" s="25"/>
      <c r="J351" s="34"/>
      <c r="K351" s="32"/>
      <c r="L351" s="26"/>
      <c r="M351" s="67"/>
      <c r="N351" s="28"/>
      <c r="O351" s="67"/>
      <c r="P351" s="26"/>
      <c r="Q351" s="67"/>
      <c r="R351" s="28"/>
      <c r="S351" s="27"/>
      <c r="T351" s="28"/>
      <c r="U351" s="27"/>
      <c r="V351" s="28"/>
      <c r="W351" s="68"/>
      <c r="X351" s="114" t="s">
        <v>509</v>
      </c>
      <c r="Y351" s="114"/>
      <c r="Z351" s="114"/>
      <c r="AA351" s="114"/>
      <c r="AB351" s="114"/>
      <c r="AC351" s="114"/>
    </row>
    <row r="352" spans="1:29" ht="28.5" hidden="1" customHeight="1" x14ac:dyDescent="0.2">
      <c r="A352" s="13" t="s">
        <v>9</v>
      </c>
      <c r="B352" s="111"/>
      <c r="C352" s="93" t="s">
        <v>36</v>
      </c>
      <c r="D352" s="40" t="s">
        <v>258</v>
      </c>
      <c r="E352" s="41" t="s">
        <v>503</v>
      </c>
      <c r="F352" s="40"/>
      <c r="G352" s="42" t="s">
        <v>193</v>
      </c>
      <c r="H352" s="43">
        <f>H351*1.15</f>
        <v>107.96429999999999</v>
      </c>
      <c r="I352" s="44"/>
      <c r="J352" s="45"/>
      <c r="K352" s="46"/>
      <c r="L352" s="17"/>
      <c r="M352" s="47"/>
      <c r="N352" s="18"/>
      <c r="O352" s="47"/>
      <c r="P352" s="17"/>
      <c r="Q352" s="47"/>
      <c r="R352" s="18"/>
      <c r="S352" s="48"/>
      <c r="T352" s="49"/>
      <c r="U352" s="48"/>
      <c r="V352" s="49"/>
      <c r="W352" s="29"/>
      <c r="X352" s="89" t="s">
        <v>198</v>
      </c>
      <c r="Y352" s="8"/>
      <c r="Z352" s="8"/>
      <c r="AA352" s="8"/>
      <c r="AB352" s="8"/>
      <c r="AC352" s="8"/>
    </row>
    <row r="353" spans="1:29" s="69" customFormat="1" ht="28.5" customHeight="1" x14ac:dyDescent="0.2">
      <c r="A353" s="66" t="s">
        <v>8</v>
      </c>
      <c r="B353" s="33" t="s">
        <v>282</v>
      </c>
      <c r="C353" s="23" t="s">
        <v>36</v>
      </c>
      <c r="D353" s="23" t="s">
        <v>258</v>
      </c>
      <c r="E353" s="24" t="s">
        <v>268</v>
      </c>
      <c r="F353" s="36"/>
      <c r="G353" s="37" t="s">
        <v>193</v>
      </c>
      <c r="H353" s="38">
        <f>10.273+14.229+8.696+10.5+4.5+5.715</f>
        <v>53.912999999999997</v>
      </c>
      <c r="I353" s="25"/>
      <c r="J353" s="34"/>
      <c r="K353" s="32"/>
      <c r="L353" s="26"/>
      <c r="M353" s="67"/>
      <c r="N353" s="28"/>
      <c r="O353" s="67"/>
      <c r="P353" s="26"/>
      <c r="Q353" s="67"/>
      <c r="R353" s="28"/>
      <c r="S353" s="27"/>
      <c r="T353" s="28"/>
      <c r="U353" s="27"/>
      <c r="V353" s="28"/>
      <c r="W353" s="68"/>
      <c r="X353" s="114" t="s">
        <v>509</v>
      </c>
      <c r="Y353" s="114"/>
      <c r="Z353" s="114"/>
      <c r="AA353" s="114"/>
      <c r="AB353" s="114"/>
      <c r="AC353" s="114"/>
    </row>
    <row r="354" spans="1:29" ht="28.5" hidden="1" customHeight="1" x14ac:dyDescent="0.2">
      <c r="A354" s="13" t="s">
        <v>9</v>
      </c>
      <c r="B354" s="111"/>
      <c r="C354" s="93" t="s">
        <v>36</v>
      </c>
      <c r="D354" s="40" t="s">
        <v>258</v>
      </c>
      <c r="E354" s="41" t="s">
        <v>269</v>
      </c>
      <c r="F354" s="40"/>
      <c r="G354" s="42" t="s">
        <v>193</v>
      </c>
      <c r="H354" s="43">
        <f>H353</f>
        <v>53.912999999999997</v>
      </c>
      <c r="I354" s="44"/>
      <c r="J354" s="45"/>
      <c r="K354" s="46"/>
      <c r="L354" s="17"/>
      <c r="M354" s="47"/>
      <c r="N354" s="18"/>
      <c r="O354" s="47"/>
      <c r="P354" s="17"/>
      <c r="Q354" s="47"/>
      <c r="R354" s="18"/>
      <c r="S354" s="48"/>
      <c r="T354" s="49"/>
      <c r="U354" s="48"/>
      <c r="V354" s="49"/>
      <c r="W354" s="29"/>
      <c r="X354" s="89"/>
      <c r="Y354" s="8"/>
      <c r="Z354" s="8"/>
      <c r="AA354" s="8"/>
      <c r="AB354" s="8"/>
      <c r="AC354" s="8"/>
    </row>
    <row r="355" spans="1:29" s="69" customFormat="1" ht="28.5" customHeight="1" x14ac:dyDescent="0.2">
      <c r="A355" s="66" t="s">
        <v>8</v>
      </c>
      <c r="B355" s="33" t="s">
        <v>283</v>
      </c>
      <c r="C355" s="23" t="s">
        <v>36</v>
      </c>
      <c r="D355" s="23" t="s">
        <v>258</v>
      </c>
      <c r="E355" s="24" t="s">
        <v>363</v>
      </c>
      <c r="F355" s="36"/>
      <c r="G355" s="37" t="s">
        <v>193</v>
      </c>
      <c r="H355" s="38">
        <f>10.183+14.179+8.771+10.637+5.715</f>
        <v>49.484999999999999</v>
      </c>
      <c r="I355" s="25"/>
      <c r="J355" s="34"/>
      <c r="K355" s="32"/>
      <c r="L355" s="26"/>
      <c r="M355" s="67"/>
      <c r="N355" s="28"/>
      <c r="O355" s="67"/>
      <c r="P355" s="26"/>
      <c r="Q355" s="67"/>
      <c r="R355" s="28"/>
      <c r="S355" s="27"/>
      <c r="T355" s="28"/>
      <c r="U355" s="27"/>
      <c r="V355" s="28"/>
      <c r="W355" s="68"/>
      <c r="X355" s="114" t="s">
        <v>509</v>
      </c>
      <c r="Y355" s="114"/>
      <c r="Z355" s="114"/>
      <c r="AA355" s="114"/>
      <c r="AB355" s="114"/>
      <c r="AC355" s="114"/>
    </row>
    <row r="356" spans="1:29" ht="28.5" hidden="1" customHeight="1" x14ac:dyDescent="0.2">
      <c r="A356" s="13" t="s">
        <v>9</v>
      </c>
      <c r="B356" s="111"/>
      <c r="C356" s="93" t="s">
        <v>36</v>
      </c>
      <c r="D356" s="40" t="s">
        <v>258</v>
      </c>
      <c r="E356" s="41" t="s">
        <v>270</v>
      </c>
      <c r="F356" s="40"/>
      <c r="G356" s="42" t="s">
        <v>193</v>
      </c>
      <c r="H356" s="43">
        <f>H355</f>
        <v>49.484999999999999</v>
      </c>
      <c r="I356" s="44"/>
      <c r="J356" s="45"/>
      <c r="K356" s="46"/>
      <c r="L356" s="17"/>
      <c r="M356" s="47"/>
      <c r="N356" s="18"/>
      <c r="O356" s="47"/>
      <c r="P356" s="17"/>
      <c r="Q356" s="47"/>
      <c r="R356" s="18"/>
      <c r="S356" s="48"/>
      <c r="T356" s="49"/>
      <c r="U356" s="48"/>
      <c r="V356" s="49"/>
      <c r="W356" s="29"/>
      <c r="X356" s="89"/>
      <c r="Y356" s="8"/>
      <c r="Z356" s="8"/>
      <c r="AA356" s="8"/>
      <c r="AB356" s="8"/>
      <c r="AC356" s="8"/>
    </row>
    <row r="357" spans="1:29" s="69" customFormat="1" ht="28.5" customHeight="1" x14ac:dyDescent="0.2">
      <c r="A357" s="66" t="s">
        <v>8</v>
      </c>
      <c r="B357" s="33" t="s">
        <v>284</v>
      </c>
      <c r="C357" s="23" t="s">
        <v>36</v>
      </c>
      <c r="D357" s="23" t="s">
        <v>258</v>
      </c>
      <c r="E357" s="24" t="s">
        <v>273</v>
      </c>
      <c r="F357" s="36"/>
      <c r="G357" s="37" t="s">
        <v>193</v>
      </c>
      <c r="H357" s="38">
        <f>34.732</f>
        <v>34.731999999999999</v>
      </c>
      <c r="I357" s="25"/>
      <c r="J357" s="34"/>
      <c r="K357" s="32"/>
      <c r="L357" s="26"/>
      <c r="M357" s="67"/>
      <c r="N357" s="28"/>
      <c r="O357" s="67"/>
      <c r="P357" s="26"/>
      <c r="Q357" s="67"/>
      <c r="R357" s="28"/>
      <c r="S357" s="27"/>
      <c r="T357" s="28"/>
      <c r="U357" s="27"/>
      <c r="V357" s="28"/>
      <c r="W357" s="68"/>
      <c r="X357" s="114" t="s">
        <v>509</v>
      </c>
      <c r="Y357" s="114"/>
      <c r="Z357" s="114"/>
      <c r="AA357" s="114"/>
      <c r="AB357" s="114"/>
      <c r="AC357" s="114"/>
    </row>
    <row r="358" spans="1:29" ht="28.5" hidden="1" customHeight="1" x14ac:dyDescent="0.2">
      <c r="A358" s="13" t="s">
        <v>9</v>
      </c>
      <c r="B358" s="111"/>
      <c r="C358" s="93" t="s">
        <v>36</v>
      </c>
      <c r="D358" s="40" t="s">
        <v>258</v>
      </c>
      <c r="E358" s="41" t="s">
        <v>274</v>
      </c>
      <c r="F358" s="40"/>
      <c r="G358" s="42" t="s">
        <v>193</v>
      </c>
      <c r="H358" s="43">
        <f>H357</f>
        <v>34.731999999999999</v>
      </c>
      <c r="I358" s="44"/>
      <c r="J358" s="45"/>
      <c r="K358" s="46"/>
      <c r="L358" s="17"/>
      <c r="M358" s="47"/>
      <c r="N358" s="18"/>
      <c r="O358" s="47"/>
      <c r="P358" s="17"/>
      <c r="Q358" s="47"/>
      <c r="R358" s="18"/>
      <c r="S358" s="48"/>
      <c r="T358" s="49"/>
      <c r="U358" s="48"/>
      <c r="V358" s="49"/>
      <c r="W358" s="29"/>
      <c r="X358" s="89"/>
      <c r="Y358" s="8"/>
      <c r="Z358" s="8"/>
      <c r="AA358" s="8"/>
      <c r="AB358" s="8"/>
      <c r="AC358" s="8"/>
    </row>
    <row r="359" spans="1:29" s="69" customFormat="1" ht="28.5" customHeight="1" x14ac:dyDescent="0.2">
      <c r="A359" s="66" t="s">
        <v>8</v>
      </c>
      <c r="B359" s="33" t="s">
        <v>506</v>
      </c>
      <c r="C359" s="23" t="s">
        <v>36</v>
      </c>
      <c r="D359" s="23" t="s">
        <v>258</v>
      </c>
      <c r="E359" s="24" t="s">
        <v>276</v>
      </c>
      <c r="F359" s="36"/>
      <c r="G359" s="37" t="s">
        <v>193</v>
      </c>
      <c r="H359" s="38">
        <f>(5.707+2.803+2.803)*1.103</f>
        <v>12.478238999999999</v>
      </c>
      <c r="I359" s="25"/>
      <c r="J359" s="34"/>
      <c r="K359" s="32"/>
      <c r="L359" s="26"/>
      <c r="M359" s="67"/>
      <c r="N359" s="28"/>
      <c r="O359" s="67"/>
      <c r="P359" s="26"/>
      <c r="Q359" s="67"/>
      <c r="R359" s="28"/>
      <c r="S359" s="27"/>
      <c r="T359" s="28"/>
      <c r="U359" s="27"/>
      <c r="V359" s="28"/>
      <c r="W359" s="68"/>
      <c r="X359" s="114" t="s">
        <v>509</v>
      </c>
      <c r="Y359" s="114"/>
      <c r="Z359" s="114"/>
      <c r="AA359" s="114"/>
      <c r="AB359" s="114"/>
      <c r="AC359" s="114"/>
    </row>
    <row r="360" spans="1:29" ht="28.5" hidden="1" customHeight="1" x14ac:dyDescent="0.2">
      <c r="A360" s="13" t="s">
        <v>9</v>
      </c>
      <c r="B360" s="111"/>
      <c r="C360" s="93" t="s">
        <v>36</v>
      </c>
      <c r="D360" s="40" t="s">
        <v>258</v>
      </c>
      <c r="E360" s="41" t="s">
        <v>343</v>
      </c>
      <c r="F360" s="40"/>
      <c r="G360" s="42" t="s">
        <v>193</v>
      </c>
      <c r="H360" s="43">
        <f>5.707</f>
        <v>5.7069999999999999</v>
      </c>
      <c r="I360" s="44"/>
      <c r="J360" s="45"/>
      <c r="K360" s="46"/>
      <c r="L360" s="17"/>
      <c r="M360" s="47"/>
      <c r="N360" s="18"/>
      <c r="O360" s="47"/>
      <c r="P360" s="17"/>
      <c r="Q360" s="47"/>
      <c r="R360" s="18"/>
      <c r="S360" s="48"/>
      <c r="T360" s="49"/>
      <c r="U360" s="48"/>
      <c r="V360" s="49"/>
      <c r="W360" s="29"/>
      <c r="X360" s="89"/>
      <c r="Y360" s="8"/>
      <c r="Z360" s="8"/>
      <c r="AA360" s="8"/>
      <c r="AB360" s="8"/>
      <c r="AC360" s="8"/>
    </row>
    <row r="361" spans="1:29" ht="28.5" hidden="1" customHeight="1" x14ac:dyDescent="0.2">
      <c r="A361" s="13" t="s">
        <v>9</v>
      </c>
      <c r="B361" s="111"/>
      <c r="C361" s="93" t="s">
        <v>36</v>
      </c>
      <c r="D361" s="40" t="s">
        <v>258</v>
      </c>
      <c r="E361" s="41" t="s">
        <v>343</v>
      </c>
      <c r="F361" s="40"/>
      <c r="G361" s="42" t="s">
        <v>193</v>
      </c>
      <c r="H361" s="43">
        <f>2.803</f>
        <v>2.8029999999999999</v>
      </c>
      <c r="I361" s="44"/>
      <c r="J361" s="45"/>
      <c r="K361" s="46"/>
      <c r="L361" s="17"/>
      <c r="M361" s="47"/>
      <c r="N361" s="18"/>
      <c r="O361" s="47"/>
      <c r="P361" s="17"/>
      <c r="Q361" s="47"/>
      <c r="R361" s="18"/>
      <c r="S361" s="48"/>
      <c r="T361" s="49"/>
      <c r="U361" s="48"/>
      <c r="V361" s="49"/>
      <c r="W361" s="29"/>
      <c r="X361" s="89"/>
      <c r="Y361" s="8"/>
      <c r="Z361" s="8"/>
      <c r="AA361" s="8"/>
      <c r="AB361" s="8"/>
      <c r="AC361" s="8"/>
    </row>
    <row r="362" spans="1:29" ht="28.5" hidden="1" customHeight="1" x14ac:dyDescent="0.2">
      <c r="A362" s="13" t="s">
        <v>9</v>
      </c>
      <c r="B362" s="111"/>
      <c r="C362" s="93" t="s">
        <v>36</v>
      </c>
      <c r="D362" s="40" t="s">
        <v>258</v>
      </c>
      <c r="E362" s="41" t="s">
        <v>343</v>
      </c>
      <c r="F362" s="40"/>
      <c r="G362" s="42" t="s">
        <v>193</v>
      </c>
      <c r="H362" s="43">
        <f>2.803</f>
        <v>2.8029999999999999</v>
      </c>
      <c r="I362" s="44"/>
      <c r="J362" s="45"/>
      <c r="K362" s="46"/>
      <c r="L362" s="17"/>
      <c r="M362" s="47"/>
      <c r="N362" s="18"/>
      <c r="O362" s="47"/>
      <c r="P362" s="17"/>
      <c r="Q362" s="47"/>
      <c r="R362" s="18"/>
      <c r="S362" s="48"/>
      <c r="T362" s="49"/>
      <c r="U362" s="48"/>
      <c r="V362" s="49"/>
      <c r="W362" s="29"/>
      <c r="X362" s="89"/>
      <c r="Y362" s="8"/>
      <c r="Z362" s="8"/>
      <c r="AA362" s="8"/>
      <c r="AB362" s="8"/>
      <c r="AC362" s="8"/>
    </row>
    <row r="363" spans="1:29" s="85" customFormat="1" ht="28.5" customHeight="1" x14ac:dyDescent="0.2">
      <c r="A363" s="70" t="s">
        <v>14</v>
      </c>
      <c r="B363" s="71">
        <v>16</v>
      </c>
      <c r="C363" s="72" t="s">
        <v>36</v>
      </c>
      <c r="D363" s="75" t="s">
        <v>258</v>
      </c>
      <c r="E363" s="74" t="s">
        <v>266</v>
      </c>
      <c r="F363" s="75"/>
      <c r="G363" s="73"/>
      <c r="H363" s="76"/>
      <c r="I363" s="77"/>
      <c r="J363" s="76"/>
      <c r="K363" s="78"/>
      <c r="L363" s="79"/>
      <c r="M363" s="80"/>
      <c r="N363" s="81"/>
      <c r="O363" s="82"/>
      <c r="P363" s="79"/>
      <c r="Q363" s="80"/>
      <c r="R363" s="81"/>
      <c r="S363" s="80"/>
      <c r="T363" s="83"/>
      <c r="U363" s="84"/>
      <c r="V363" s="83"/>
    </row>
    <row r="364" spans="1:29" s="69" customFormat="1" ht="28.5" customHeight="1" x14ac:dyDescent="0.2">
      <c r="A364" s="66" t="s">
        <v>8</v>
      </c>
      <c r="B364" s="33" t="s">
        <v>263</v>
      </c>
      <c r="C364" s="23" t="s">
        <v>36</v>
      </c>
      <c r="D364" s="23" t="s">
        <v>258</v>
      </c>
      <c r="E364" s="24" t="s">
        <v>364</v>
      </c>
      <c r="F364" s="36"/>
      <c r="G364" s="37" t="s">
        <v>193</v>
      </c>
      <c r="H364" s="38">
        <f>4.79+1.16+1.16+2.3+1.16+1.16+9.22+3.67+12.39+0.86+0.86+4.41+0.86+0.86+2.21</f>
        <v>47.07</v>
      </c>
      <c r="I364" s="25"/>
      <c r="J364" s="34"/>
      <c r="K364" s="32"/>
      <c r="L364" s="26"/>
      <c r="M364" s="67"/>
      <c r="N364" s="28"/>
      <c r="O364" s="67"/>
      <c r="P364" s="26"/>
      <c r="Q364" s="67"/>
      <c r="R364" s="28"/>
      <c r="S364" s="27"/>
      <c r="T364" s="28"/>
      <c r="U364" s="27"/>
      <c r="V364" s="28"/>
      <c r="W364" s="68"/>
      <c r="X364" s="114" t="s">
        <v>509</v>
      </c>
      <c r="Y364" s="114"/>
      <c r="Z364" s="114"/>
      <c r="AA364" s="114"/>
      <c r="AB364" s="114"/>
      <c r="AC364" s="114"/>
    </row>
    <row r="365" spans="1:29" ht="28.5" hidden="1" customHeight="1" x14ac:dyDescent="0.2">
      <c r="A365" s="13" t="s">
        <v>9</v>
      </c>
      <c r="B365" s="111"/>
      <c r="C365" s="93" t="s">
        <v>36</v>
      </c>
      <c r="D365" s="40" t="s">
        <v>258</v>
      </c>
      <c r="E365" s="41" t="s">
        <v>457</v>
      </c>
      <c r="F365" s="40"/>
      <c r="G365" s="42" t="s">
        <v>193</v>
      </c>
      <c r="H365" s="43">
        <f>H364*1.15</f>
        <v>54.130499999999998</v>
      </c>
      <c r="I365" s="44"/>
      <c r="J365" s="45"/>
      <c r="K365" s="46"/>
      <c r="L365" s="17"/>
      <c r="M365" s="47"/>
      <c r="N365" s="18"/>
      <c r="O365" s="47"/>
      <c r="P365" s="17"/>
      <c r="Q365" s="47"/>
      <c r="R365" s="18"/>
      <c r="S365" s="48"/>
      <c r="T365" s="49"/>
      <c r="U365" s="48"/>
      <c r="V365" s="49"/>
      <c r="W365" s="29"/>
      <c r="X365" s="89" t="s">
        <v>198</v>
      </c>
      <c r="Y365" s="8"/>
      <c r="Z365" s="8"/>
      <c r="AA365" s="8"/>
      <c r="AB365" s="8"/>
      <c r="AC365" s="8"/>
    </row>
    <row r="366" spans="1:29" ht="28.5" hidden="1" customHeight="1" x14ac:dyDescent="0.2">
      <c r="A366" s="13" t="s">
        <v>9</v>
      </c>
      <c r="B366" s="111"/>
      <c r="C366" s="93" t="s">
        <v>36</v>
      </c>
      <c r="D366" s="40" t="s">
        <v>258</v>
      </c>
      <c r="E366" s="41" t="s">
        <v>204</v>
      </c>
      <c r="F366" s="40"/>
      <c r="G366" s="42" t="s">
        <v>193</v>
      </c>
      <c r="H366" s="43">
        <f>H364*1.15</f>
        <v>54.130499999999998</v>
      </c>
      <c r="I366" s="44"/>
      <c r="J366" s="45"/>
      <c r="K366" s="46"/>
      <c r="L366" s="17"/>
      <c r="M366" s="47"/>
      <c r="N366" s="18"/>
      <c r="O366" s="47"/>
      <c r="P366" s="17"/>
      <c r="Q366" s="47"/>
      <c r="R366" s="18"/>
      <c r="S366" s="48"/>
      <c r="T366" s="49"/>
      <c r="U366" s="48"/>
      <c r="V366" s="49"/>
      <c r="W366" s="29"/>
      <c r="X366" s="89" t="s">
        <v>198</v>
      </c>
      <c r="Y366" s="8"/>
      <c r="Z366" s="8"/>
      <c r="AA366" s="8"/>
      <c r="AB366" s="8"/>
      <c r="AC366" s="8"/>
    </row>
    <row r="367" spans="1:29" s="69" customFormat="1" ht="28.5" customHeight="1" x14ac:dyDescent="0.2">
      <c r="A367" s="66" t="s">
        <v>8</v>
      </c>
      <c r="B367" s="33" t="s">
        <v>277</v>
      </c>
      <c r="C367" s="23" t="s">
        <v>36</v>
      </c>
      <c r="D367" s="23" t="s">
        <v>258</v>
      </c>
      <c r="E367" s="24" t="s">
        <v>502</v>
      </c>
      <c r="F367" s="36"/>
      <c r="G367" s="37" t="s">
        <v>193</v>
      </c>
      <c r="H367" s="38">
        <f>11*15.647</f>
        <v>172.11699999999999</v>
      </c>
      <c r="I367" s="25"/>
      <c r="J367" s="34"/>
      <c r="K367" s="32"/>
      <c r="L367" s="26"/>
      <c r="M367" s="67"/>
      <c r="N367" s="28"/>
      <c r="O367" s="67"/>
      <c r="P367" s="26"/>
      <c r="Q367" s="67"/>
      <c r="R367" s="28"/>
      <c r="S367" s="27"/>
      <c r="T367" s="28"/>
      <c r="U367" s="27"/>
      <c r="V367" s="28"/>
      <c r="W367" s="68"/>
      <c r="X367" s="114" t="s">
        <v>509</v>
      </c>
      <c r="Y367" s="114"/>
      <c r="Z367" s="114"/>
      <c r="AA367" s="114"/>
      <c r="AB367" s="114"/>
      <c r="AC367" s="114"/>
    </row>
    <row r="368" spans="1:29" ht="28.5" hidden="1" customHeight="1" x14ac:dyDescent="0.2">
      <c r="A368" s="13" t="s">
        <v>9</v>
      </c>
      <c r="B368" s="111"/>
      <c r="C368" s="93" t="s">
        <v>36</v>
      </c>
      <c r="D368" s="40" t="s">
        <v>258</v>
      </c>
      <c r="E368" s="41" t="s">
        <v>503</v>
      </c>
      <c r="F368" s="40"/>
      <c r="G368" s="42" t="s">
        <v>193</v>
      </c>
      <c r="H368" s="43">
        <f>H367*1.15</f>
        <v>197.93454999999997</v>
      </c>
      <c r="I368" s="44"/>
      <c r="J368" s="45"/>
      <c r="K368" s="46"/>
      <c r="L368" s="17"/>
      <c r="M368" s="47"/>
      <c r="N368" s="18"/>
      <c r="O368" s="47"/>
      <c r="P368" s="17"/>
      <c r="Q368" s="47"/>
      <c r="R368" s="18"/>
      <c r="S368" s="48"/>
      <c r="T368" s="49"/>
      <c r="U368" s="48"/>
      <c r="V368" s="49"/>
      <c r="W368" s="29"/>
      <c r="X368" s="89" t="s">
        <v>198</v>
      </c>
      <c r="Y368" s="8"/>
      <c r="Z368" s="8"/>
      <c r="AA368" s="8"/>
      <c r="AB368" s="8"/>
      <c r="AC368" s="8"/>
    </row>
    <row r="369" spans="1:29" s="69" customFormat="1" ht="28.5" customHeight="1" x14ac:dyDescent="0.2">
      <c r="A369" s="66" t="s">
        <v>8</v>
      </c>
      <c r="B369" s="33" t="s">
        <v>278</v>
      </c>
      <c r="C369" s="23" t="s">
        <v>36</v>
      </c>
      <c r="D369" s="23" t="s">
        <v>258</v>
      </c>
      <c r="E369" s="24" t="s">
        <v>268</v>
      </c>
      <c r="F369" s="36"/>
      <c r="G369" s="37" t="s">
        <v>193</v>
      </c>
      <c r="H369" s="38">
        <f>3.27+6.5+13+9.5+4.5+5.803</f>
        <v>42.572999999999993</v>
      </c>
      <c r="I369" s="25"/>
      <c r="J369" s="34"/>
      <c r="K369" s="32"/>
      <c r="L369" s="26"/>
      <c r="M369" s="67"/>
      <c r="N369" s="28"/>
      <c r="O369" s="67"/>
      <c r="P369" s="26"/>
      <c r="Q369" s="67"/>
      <c r="R369" s="28"/>
      <c r="S369" s="27"/>
      <c r="T369" s="28"/>
      <c r="U369" s="27"/>
      <c r="V369" s="28"/>
      <c r="W369" s="68"/>
      <c r="X369" s="114" t="s">
        <v>509</v>
      </c>
      <c r="Y369" s="114"/>
      <c r="Z369" s="114"/>
      <c r="AA369" s="114"/>
      <c r="AB369" s="114"/>
      <c r="AC369" s="114"/>
    </row>
    <row r="370" spans="1:29" ht="28.5" hidden="1" customHeight="1" x14ac:dyDescent="0.2">
      <c r="A370" s="13" t="s">
        <v>9</v>
      </c>
      <c r="B370" s="111"/>
      <c r="C370" s="93" t="s">
        <v>36</v>
      </c>
      <c r="D370" s="40" t="s">
        <v>258</v>
      </c>
      <c r="E370" s="41" t="s">
        <v>269</v>
      </c>
      <c r="F370" s="40"/>
      <c r="G370" s="42" t="s">
        <v>193</v>
      </c>
      <c r="H370" s="43">
        <f>H369</f>
        <v>42.572999999999993</v>
      </c>
      <c r="I370" s="44"/>
      <c r="J370" s="45"/>
      <c r="K370" s="46"/>
      <c r="L370" s="17"/>
      <c r="M370" s="47"/>
      <c r="N370" s="18"/>
      <c r="O370" s="47"/>
      <c r="P370" s="17"/>
      <c r="Q370" s="47"/>
      <c r="R370" s="18"/>
      <c r="S370" s="48"/>
      <c r="T370" s="49"/>
      <c r="U370" s="48"/>
      <c r="V370" s="49"/>
      <c r="W370" s="29"/>
      <c r="X370" s="89"/>
      <c r="Y370" s="8"/>
      <c r="Z370" s="8"/>
      <c r="AA370" s="8"/>
      <c r="AB370" s="8"/>
      <c r="AC370" s="8"/>
    </row>
    <row r="371" spans="1:29" s="69" customFormat="1" ht="28.5" customHeight="1" x14ac:dyDescent="0.2">
      <c r="A371" s="66" t="s">
        <v>8</v>
      </c>
      <c r="B371" s="33" t="s">
        <v>279</v>
      </c>
      <c r="C371" s="23" t="s">
        <v>36</v>
      </c>
      <c r="D371" s="23" t="s">
        <v>258</v>
      </c>
      <c r="E371" s="24" t="s">
        <v>363</v>
      </c>
      <c r="F371" s="36"/>
      <c r="G371" s="37" t="s">
        <v>193</v>
      </c>
      <c r="H371" s="38">
        <f>3.2+6.367+12.925+9.667+4.358+5.636</f>
        <v>42.152999999999999</v>
      </c>
      <c r="I371" s="25"/>
      <c r="J371" s="34"/>
      <c r="K371" s="32"/>
      <c r="L371" s="26"/>
      <c r="M371" s="67"/>
      <c r="N371" s="28"/>
      <c r="O371" s="67"/>
      <c r="P371" s="26"/>
      <c r="Q371" s="67"/>
      <c r="R371" s="28"/>
      <c r="S371" s="27"/>
      <c r="T371" s="28"/>
      <c r="U371" s="27"/>
      <c r="V371" s="28"/>
      <c r="W371" s="68"/>
      <c r="X371" s="114" t="s">
        <v>509</v>
      </c>
      <c r="Y371" s="114"/>
      <c r="Z371" s="114"/>
      <c r="AA371" s="114"/>
      <c r="AB371" s="114"/>
      <c r="AC371" s="114"/>
    </row>
    <row r="372" spans="1:29" ht="28.5" hidden="1" customHeight="1" x14ac:dyDescent="0.2">
      <c r="A372" s="13" t="s">
        <v>9</v>
      </c>
      <c r="B372" s="111"/>
      <c r="C372" s="93" t="s">
        <v>36</v>
      </c>
      <c r="D372" s="40" t="s">
        <v>258</v>
      </c>
      <c r="E372" s="41" t="s">
        <v>270</v>
      </c>
      <c r="F372" s="40"/>
      <c r="G372" s="42" t="s">
        <v>193</v>
      </c>
      <c r="H372" s="43">
        <f>H371</f>
        <v>42.152999999999999</v>
      </c>
      <c r="I372" s="44"/>
      <c r="J372" s="45"/>
      <c r="K372" s="46"/>
      <c r="L372" s="17"/>
      <c r="M372" s="47"/>
      <c r="N372" s="18"/>
      <c r="O372" s="47"/>
      <c r="P372" s="17"/>
      <c r="Q372" s="47"/>
      <c r="R372" s="18"/>
      <c r="S372" s="48"/>
      <c r="T372" s="49"/>
      <c r="U372" s="48"/>
      <c r="V372" s="49"/>
      <c r="W372" s="29"/>
      <c r="X372" s="89"/>
      <c r="Y372" s="8"/>
      <c r="Z372" s="8"/>
      <c r="AA372" s="8"/>
      <c r="AB372" s="8"/>
      <c r="AC372" s="8"/>
    </row>
    <row r="373" spans="1:29" s="69" customFormat="1" ht="28.5" customHeight="1" x14ac:dyDescent="0.2">
      <c r="A373" s="66" t="s">
        <v>8</v>
      </c>
      <c r="B373" s="33" t="s">
        <v>280</v>
      </c>
      <c r="C373" s="23" t="s">
        <v>36</v>
      </c>
      <c r="D373" s="23" t="s">
        <v>258</v>
      </c>
      <c r="E373" s="24" t="s">
        <v>273</v>
      </c>
      <c r="F373" s="36"/>
      <c r="G373" s="37" t="s">
        <v>193</v>
      </c>
      <c r="H373" s="38">
        <f>2.847+32.898</f>
        <v>35.745000000000005</v>
      </c>
      <c r="I373" s="25"/>
      <c r="J373" s="34"/>
      <c r="K373" s="32"/>
      <c r="L373" s="26"/>
      <c r="M373" s="67"/>
      <c r="N373" s="28"/>
      <c r="O373" s="67"/>
      <c r="P373" s="26"/>
      <c r="Q373" s="67"/>
      <c r="R373" s="28"/>
      <c r="S373" s="27"/>
      <c r="T373" s="28"/>
      <c r="U373" s="27"/>
      <c r="V373" s="28"/>
      <c r="W373" s="68"/>
      <c r="X373" s="114" t="s">
        <v>509</v>
      </c>
      <c r="Y373" s="114"/>
      <c r="Z373" s="114"/>
      <c r="AA373" s="114"/>
      <c r="AB373" s="114"/>
      <c r="AC373" s="114"/>
    </row>
    <row r="374" spans="1:29" ht="28.5" hidden="1" customHeight="1" x14ac:dyDescent="0.2">
      <c r="A374" s="13" t="s">
        <v>9</v>
      </c>
      <c r="B374" s="111"/>
      <c r="C374" s="93" t="s">
        <v>36</v>
      </c>
      <c r="D374" s="40" t="s">
        <v>258</v>
      </c>
      <c r="E374" s="41" t="s">
        <v>274</v>
      </c>
      <c r="F374" s="40"/>
      <c r="G374" s="42" t="s">
        <v>193</v>
      </c>
      <c r="H374" s="43">
        <f>H373</f>
        <v>35.745000000000005</v>
      </c>
      <c r="I374" s="44"/>
      <c r="J374" s="45"/>
      <c r="K374" s="46"/>
      <c r="L374" s="17"/>
      <c r="M374" s="47"/>
      <c r="N374" s="18"/>
      <c r="O374" s="47"/>
      <c r="P374" s="17"/>
      <c r="Q374" s="47"/>
      <c r="R374" s="18"/>
      <c r="S374" s="48"/>
      <c r="T374" s="49"/>
      <c r="U374" s="48"/>
      <c r="V374" s="49"/>
      <c r="W374" s="29"/>
      <c r="X374" s="89"/>
      <c r="Y374" s="8"/>
      <c r="Z374" s="8"/>
      <c r="AA374" s="8"/>
      <c r="AB374" s="8"/>
      <c r="AC374" s="8"/>
    </row>
    <row r="375" spans="1:29" s="69" customFormat="1" ht="28.5" customHeight="1" x14ac:dyDescent="0.2">
      <c r="A375" s="66" t="s">
        <v>8</v>
      </c>
      <c r="B375" s="33" t="s">
        <v>507</v>
      </c>
      <c r="C375" s="23" t="s">
        <v>36</v>
      </c>
      <c r="D375" s="23" t="s">
        <v>258</v>
      </c>
      <c r="E375" s="24" t="s">
        <v>276</v>
      </c>
      <c r="F375" s="36"/>
      <c r="G375" s="37" t="s">
        <v>193</v>
      </c>
      <c r="H375" s="38">
        <f>(2.803+4.024+4.024+5.387+2.483+3.574+2.803)*1.103</f>
        <v>27.683094000000001</v>
      </c>
      <c r="I375" s="25"/>
      <c r="J375" s="34"/>
      <c r="K375" s="32"/>
      <c r="L375" s="26"/>
      <c r="M375" s="67"/>
      <c r="N375" s="28"/>
      <c r="O375" s="67"/>
      <c r="P375" s="26"/>
      <c r="Q375" s="67"/>
      <c r="R375" s="28"/>
      <c r="S375" s="27"/>
      <c r="T375" s="28"/>
      <c r="U375" s="27"/>
      <c r="V375" s="28"/>
      <c r="W375" s="68"/>
      <c r="X375" s="114" t="s">
        <v>509</v>
      </c>
      <c r="Y375" s="114"/>
      <c r="Z375" s="114"/>
      <c r="AA375" s="114"/>
      <c r="AB375" s="114"/>
      <c r="AC375" s="114"/>
    </row>
    <row r="376" spans="1:29" ht="28.5" hidden="1" customHeight="1" x14ac:dyDescent="0.2">
      <c r="A376" s="13" t="s">
        <v>9</v>
      </c>
      <c r="B376" s="111"/>
      <c r="C376" s="93" t="s">
        <v>36</v>
      </c>
      <c r="D376" s="40" t="s">
        <v>258</v>
      </c>
      <c r="E376" s="41" t="s">
        <v>343</v>
      </c>
      <c r="F376" s="40"/>
      <c r="G376" s="42" t="s">
        <v>193</v>
      </c>
      <c r="H376" s="43">
        <f>2.803</f>
        <v>2.8029999999999999</v>
      </c>
      <c r="I376" s="44"/>
      <c r="J376" s="45"/>
      <c r="K376" s="46"/>
      <c r="L376" s="17"/>
      <c r="M376" s="47"/>
      <c r="N376" s="18"/>
      <c r="O376" s="47"/>
      <c r="P376" s="17"/>
      <c r="Q376" s="47"/>
      <c r="R376" s="18"/>
      <c r="S376" s="48"/>
      <c r="T376" s="49"/>
      <c r="U376" s="48"/>
      <c r="V376" s="49"/>
      <c r="W376" s="29"/>
      <c r="X376" s="89"/>
      <c r="Y376" s="8"/>
      <c r="Z376" s="8"/>
      <c r="AA376" s="8"/>
      <c r="AB376" s="8"/>
      <c r="AC376" s="8"/>
    </row>
    <row r="377" spans="1:29" ht="28.5" hidden="1" customHeight="1" x14ac:dyDescent="0.2">
      <c r="A377" s="13" t="s">
        <v>9</v>
      </c>
      <c r="B377" s="111"/>
      <c r="C377" s="93" t="s">
        <v>36</v>
      </c>
      <c r="D377" s="40" t="s">
        <v>258</v>
      </c>
      <c r="E377" s="41" t="s">
        <v>343</v>
      </c>
      <c r="F377" s="40"/>
      <c r="G377" s="42" t="s">
        <v>193</v>
      </c>
      <c r="H377" s="43">
        <f>4.024</f>
        <v>4.024</v>
      </c>
      <c r="I377" s="44"/>
      <c r="J377" s="45"/>
      <c r="K377" s="46"/>
      <c r="L377" s="17"/>
      <c r="M377" s="47"/>
      <c r="N377" s="18"/>
      <c r="O377" s="47"/>
      <c r="P377" s="17"/>
      <c r="Q377" s="47"/>
      <c r="R377" s="18"/>
      <c r="S377" s="48"/>
      <c r="T377" s="49"/>
      <c r="U377" s="48"/>
      <c r="V377" s="49"/>
      <c r="W377" s="29"/>
      <c r="X377" s="89"/>
      <c r="Y377" s="8"/>
      <c r="Z377" s="8"/>
      <c r="AA377" s="8"/>
      <c r="AB377" s="8"/>
      <c r="AC377" s="8"/>
    </row>
    <row r="378" spans="1:29" ht="28.5" hidden="1" customHeight="1" x14ac:dyDescent="0.2">
      <c r="A378" s="13" t="s">
        <v>9</v>
      </c>
      <c r="B378" s="111"/>
      <c r="C378" s="93" t="s">
        <v>36</v>
      </c>
      <c r="D378" s="40" t="s">
        <v>258</v>
      </c>
      <c r="E378" s="41" t="s">
        <v>343</v>
      </c>
      <c r="F378" s="40"/>
      <c r="G378" s="42" t="s">
        <v>193</v>
      </c>
      <c r="H378" s="43">
        <f>4.024</f>
        <v>4.024</v>
      </c>
      <c r="I378" s="44"/>
      <c r="J378" s="45"/>
      <c r="K378" s="46"/>
      <c r="L378" s="17"/>
      <c r="M378" s="47"/>
      <c r="N378" s="18"/>
      <c r="O378" s="47"/>
      <c r="P378" s="17"/>
      <c r="Q378" s="47"/>
      <c r="R378" s="18"/>
      <c r="S378" s="48"/>
      <c r="T378" s="49"/>
      <c r="U378" s="48"/>
      <c r="V378" s="49"/>
      <c r="W378" s="29"/>
      <c r="X378" s="89"/>
      <c r="Y378" s="8"/>
      <c r="Z378" s="8"/>
      <c r="AA378" s="8"/>
      <c r="AB378" s="8"/>
      <c r="AC378" s="8"/>
    </row>
    <row r="379" spans="1:29" ht="28.5" hidden="1" customHeight="1" x14ac:dyDescent="0.2">
      <c r="A379" s="13" t="s">
        <v>9</v>
      </c>
      <c r="B379" s="111"/>
      <c r="C379" s="93" t="s">
        <v>36</v>
      </c>
      <c r="D379" s="40" t="s">
        <v>258</v>
      </c>
      <c r="E379" s="41" t="s">
        <v>343</v>
      </c>
      <c r="F379" s="40"/>
      <c r="G379" s="42" t="s">
        <v>193</v>
      </c>
      <c r="H379" s="43">
        <f>5.387</f>
        <v>5.3869999999999996</v>
      </c>
      <c r="I379" s="44"/>
      <c r="J379" s="45"/>
      <c r="K379" s="46"/>
      <c r="L379" s="17"/>
      <c r="M379" s="47"/>
      <c r="N379" s="18"/>
      <c r="O379" s="47"/>
      <c r="P379" s="17"/>
      <c r="Q379" s="47"/>
      <c r="R379" s="18"/>
      <c r="S379" s="48"/>
      <c r="T379" s="49"/>
      <c r="U379" s="48"/>
      <c r="V379" s="49"/>
      <c r="W379" s="29"/>
      <c r="X379" s="89"/>
      <c r="Y379" s="8"/>
      <c r="Z379" s="8"/>
      <c r="AA379" s="8"/>
      <c r="AB379" s="8"/>
      <c r="AC379" s="8"/>
    </row>
    <row r="380" spans="1:29" ht="28.5" hidden="1" customHeight="1" x14ac:dyDescent="0.2">
      <c r="A380" s="13" t="s">
        <v>9</v>
      </c>
      <c r="B380" s="111"/>
      <c r="C380" s="93" t="s">
        <v>36</v>
      </c>
      <c r="D380" s="40" t="s">
        <v>258</v>
      </c>
      <c r="E380" s="41" t="s">
        <v>343</v>
      </c>
      <c r="F380" s="40"/>
      <c r="G380" s="42" t="s">
        <v>193</v>
      </c>
      <c r="H380" s="43">
        <f>2.483</f>
        <v>2.4830000000000001</v>
      </c>
      <c r="I380" s="44"/>
      <c r="J380" s="45"/>
      <c r="K380" s="46"/>
      <c r="L380" s="17"/>
      <c r="M380" s="47"/>
      <c r="N380" s="18"/>
      <c r="O380" s="47"/>
      <c r="P380" s="17"/>
      <c r="Q380" s="47"/>
      <c r="R380" s="18"/>
      <c r="S380" s="48"/>
      <c r="T380" s="49"/>
      <c r="U380" s="48"/>
      <c r="V380" s="49"/>
      <c r="W380" s="29"/>
      <c r="X380" s="89"/>
      <c r="Y380" s="8"/>
      <c r="Z380" s="8"/>
      <c r="AA380" s="8"/>
      <c r="AB380" s="8"/>
      <c r="AC380" s="8"/>
    </row>
    <row r="381" spans="1:29" ht="28.5" hidden="1" customHeight="1" x14ac:dyDescent="0.2">
      <c r="A381" s="13" t="s">
        <v>9</v>
      </c>
      <c r="B381" s="111"/>
      <c r="C381" s="93" t="s">
        <v>36</v>
      </c>
      <c r="D381" s="40" t="s">
        <v>258</v>
      </c>
      <c r="E381" s="41" t="s">
        <v>343</v>
      </c>
      <c r="F381" s="40"/>
      <c r="G381" s="42" t="s">
        <v>193</v>
      </c>
      <c r="H381" s="43">
        <f>3.574</f>
        <v>3.5739999999999998</v>
      </c>
      <c r="I381" s="44"/>
      <c r="J381" s="45"/>
      <c r="K381" s="46"/>
      <c r="L381" s="17"/>
      <c r="M381" s="47"/>
      <c r="N381" s="18"/>
      <c r="O381" s="47"/>
      <c r="P381" s="17"/>
      <c r="Q381" s="47"/>
      <c r="R381" s="18"/>
      <c r="S381" s="48"/>
      <c r="T381" s="49"/>
      <c r="U381" s="48"/>
      <c r="V381" s="49"/>
      <c r="W381" s="29"/>
      <c r="X381" s="89"/>
      <c r="Y381" s="8"/>
      <c r="Z381" s="8"/>
      <c r="AA381" s="8"/>
      <c r="AB381" s="8"/>
      <c r="AC381" s="8"/>
    </row>
    <row r="382" spans="1:29" ht="28.5" hidden="1" customHeight="1" x14ac:dyDescent="0.2">
      <c r="A382" s="13" t="s">
        <v>9</v>
      </c>
      <c r="B382" s="111"/>
      <c r="C382" s="93" t="s">
        <v>36</v>
      </c>
      <c r="D382" s="40" t="s">
        <v>258</v>
      </c>
      <c r="E382" s="41" t="s">
        <v>343</v>
      </c>
      <c r="F382" s="40"/>
      <c r="G382" s="42" t="s">
        <v>193</v>
      </c>
      <c r="H382" s="43">
        <f>2.803</f>
        <v>2.8029999999999999</v>
      </c>
      <c r="I382" s="44"/>
      <c r="J382" s="45"/>
      <c r="K382" s="46"/>
      <c r="L382" s="17"/>
      <c r="M382" s="47"/>
      <c r="N382" s="18"/>
      <c r="O382" s="47"/>
      <c r="P382" s="17"/>
      <c r="Q382" s="47"/>
      <c r="R382" s="18"/>
      <c r="S382" s="48"/>
      <c r="T382" s="49"/>
      <c r="U382" s="48"/>
      <c r="V382" s="49"/>
      <c r="W382" s="29"/>
      <c r="X382" s="89"/>
      <c r="Y382" s="8"/>
      <c r="Z382" s="8"/>
      <c r="AA382" s="8"/>
      <c r="AB382" s="8"/>
      <c r="AC382" s="8"/>
    </row>
    <row r="383" spans="1:29" s="64" customFormat="1" ht="28.5" customHeight="1" x14ac:dyDescent="0.2">
      <c r="A383" s="50" t="s">
        <v>14</v>
      </c>
      <c r="B383" s="94" t="s">
        <v>289</v>
      </c>
      <c r="C383" s="51" t="s">
        <v>36</v>
      </c>
      <c r="D383" s="52"/>
      <c r="E383" s="53" t="s">
        <v>365</v>
      </c>
      <c r="F383" s="54"/>
      <c r="G383" s="52"/>
      <c r="H383" s="55"/>
      <c r="I383" s="56"/>
      <c r="J383" s="55"/>
      <c r="K383" s="57"/>
      <c r="L383" s="58"/>
      <c r="M383" s="59"/>
      <c r="N383" s="60"/>
      <c r="O383" s="61"/>
      <c r="P383" s="58"/>
      <c r="Q383" s="59"/>
      <c r="R383" s="60"/>
      <c r="S383" s="59"/>
      <c r="T383" s="62"/>
      <c r="U383" s="63"/>
      <c r="V383" s="62"/>
    </row>
    <row r="384" spans="1:29" s="85" customFormat="1" ht="28.5" customHeight="1" x14ac:dyDescent="0.2">
      <c r="A384" s="70" t="s">
        <v>14</v>
      </c>
      <c r="B384" s="71">
        <v>17</v>
      </c>
      <c r="C384" s="72" t="s">
        <v>36</v>
      </c>
      <c r="D384" s="75" t="s">
        <v>295</v>
      </c>
      <c r="E384" s="74" t="s">
        <v>292</v>
      </c>
      <c r="F384" s="75"/>
      <c r="G384" s="73" t="s">
        <v>69</v>
      </c>
      <c r="H384" s="76">
        <v>6</v>
      </c>
      <c r="I384" s="77"/>
      <c r="J384" s="76"/>
      <c r="K384" s="78"/>
      <c r="L384" s="79"/>
      <c r="M384" s="80"/>
      <c r="N384" s="81"/>
      <c r="O384" s="82"/>
      <c r="P384" s="79"/>
      <c r="Q384" s="80"/>
      <c r="R384" s="81"/>
      <c r="S384" s="80"/>
      <c r="T384" s="83"/>
      <c r="U384" s="84"/>
      <c r="V384" s="83"/>
    </row>
    <row r="385" spans="1:29" s="69" customFormat="1" ht="28.5" customHeight="1" x14ac:dyDescent="0.2">
      <c r="A385" s="66" t="s">
        <v>8</v>
      </c>
      <c r="B385" s="33" t="s">
        <v>290</v>
      </c>
      <c r="C385" s="23" t="s">
        <v>36</v>
      </c>
      <c r="D385" s="23" t="s">
        <v>295</v>
      </c>
      <c r="E385" s="24" t="s">
        <v>366</v>
      </c>
      <c r="F385" s="36"/>
      <c r="G385" s="37" t="s">
        <v>110</v>
      </c>
      <c r="H385" s="38">
        <f>SUM(H386:H390)/1.03</f>
        <v>2.3695366500000001</v>
      </c>
      <c r="I385" s="25"/>
      <c r="J385" s="34"/>
      <c r="K385" s="32"/>
      <c r="L385" s="26"/>
      <c r="M385" s="67"/>
      <c r="N385" s="28"/>
      <c r="O385" s="67"/>
      <c r="P385" s="26"/>
      <c r="Q385" s="67"/>
      <c r="R385" s="28"/>
      <c r="S385" s="27"/>
      <c r="T385" s="28"/>
      <c r="U385" s="27"/>
      <c r="V385" s="28"/>
      <c r="W385" s="68"/>
      <c r="X385" s="88"/>
      <c r="Y385" s="88"/>
      <c r="Z385" s="88"/>
      <c r="AA385" s="88"/>
      <c r="AB385" s="88"/>
      <c r="AC385" s="88"/>
    </row>
    <row r="386" spans="1:29" ht="28.5" hidden="1" customHeight="1" x14ac:dyDescent="0.2">
      <c r="A386" s="13" t="s">
        <v>9</v>
      </c>
      <c r="B386" s="111"/>
      <c r="C386" s="93" t="s">
        <v>36</v>
      </c>
      <c r="D386" s="40" t="s">
        <v>295</v>
      </c>
      <c r="E386" s="41" t="s">
        <v>320</v>
      </c>
      <c r="F386" s="40"/>
      <c r="G386" s="42" t="s">
        <v>110</v>
      </c>
      <c r="H386" s="43">
        <f>(6.2*10.79)*6/1000*1.03</f>
        <v>0.41342963999999999</v>
      </c>
      <c r="I386" s="44"/>
      <c r="J386" s="45"/>
      <c r="K386" s="46"/>
      <c r="L386" s="17"/>
      <c r="M386" s="47"/>
      <c r="N386" s="18"/>
      <c r="O386" s="47"/>
      <c r="P386" s="17"/>
      <c r="Q386" s="47"/>
      <c r="R386" s="18"/>
      <c r="S386" s="48"/>
      <c r="T386" s="49"/>
      <c r="U386" s="48"/>
      <c r="V386" s="49"/>
      <c r="W386" s="29"/>
      <c r="X386" s="89" t="s">
        <v>127</v>
      </c>
      <c r="Y386" s="8"/>
      <c r="Z386" s="8"/>
      <c r="AA386" s="8"/>
      <c r="AB386" s="8"/>
      <c r="AC386" s="8"/>
    </row>
    <row r="387" spans="1:29" ht="28.5" hidden="1" customHeight="1" x14ac:dyDescent="0.2">
      <c r="A387" s="13" t="s">
        <v>9</v>
      </c>
      <c r="B387" s="111"/>
      <c r="C387" s="93" t="s">
        <v>36</v>
      </c>
      <c r="D387" s="40" t="s">
        <v>295</v>
      </c>
      <c r="E387" s="41" t="s">
        <v>321</v>
      </c>
      <c r="F387" s="40"/>
      <c r="G387" s="42" t="s">
        <v>110</v>
      </c>
      <c r="H387" s="43">
        <f>(37.76*6.39)*6/1000*1.03</f>
        <v>1.4911499520000002</v>
      </c>
      <c r="I387" s="44"/>
      <c r="J387" s="45"/>
      <c r="K387" s="46"/>
      <c r="L387" s="17"/>
      <c r="M387" s="47"/>
      <c r="N387" s="18"/>
      <c r="O387" s="47"/>
      <c r="P387" s="17"/>
      <c r="Q387" s="47"/>
      <c r="R387" s="18"/>
      <c r="S387" s="48"/>
      <c r="T387" s="49"/>
      <c r="U387" s="48"/>
      <c r="V387" s="49"/>
      <c r="W387" s="29"/>
      <c r="X387" s="89" t="s">
        <v>127</v>
      </c>
      <c r="Y387" s="8"/>
      <c r="Z387" s="8"/>
      <c r="AA387" s="8"/>
      <c r="AB387" s="8"/>
      <c r="AC387" s="8"/>
    </row>
    <row r="388" spans="1:29" ht="28.5" hidden="1" customHeight="1" x14ac:dyDescent="0.2">
      <c r="A388" s="13" t="s">
        <v>9</v>
      </c>
      <c r="B388" s="111"/>
      <c r="C388" s="93" t="s">
        <v>36</v>
      </c>
      <c r="D388" s="40" t="s">
        <v>295</v>
      </c>
      <c r="E388" s="41" t="s">
        <v>322</v>
      </c>
      <c r="F388" s="40"/>
      <c r="G388" s="42" t="s">
        <v>110</v>
      </c>
      <c r="H388" s="43">
        <f>((1.91*0.3)*8)*6/1000*1.03</f>
        <v>2.8329119999999999E-2</v>
      </c>
      <c r="I388" s="44"/>
      <c r="J388" s="45"/>
      <c r="K388" s="46"/>
      <c r="L388" s="17"/>
      <c r="M388" s="47"/>
      <c r="N388" s="18"/>
      <c r="O388" s="47"/>
      <c r="P388" s="17"/>
      <c r="Q388" s="47"/>
      <c r="R388" s="18"/>
      <c r="S388" s="48"/>
      <c r="T388" s="49"/>
      <c r="U388" s="48"/>
      <c r="V388" s="49"/>
      <c r="W388" s="29"/>
      <c r="X388" s="89" t="s">
        <v>127</v>
      </c>
      <c r="Y388" s="8"/>
      <c r="Z388" s="8"/>
      <c r="AA388" s="8"/>
      <c r="AB388" s="8"/>
      <c r="AC388" s="8"/>
    </row>
    <row r="389" spans="1:29" ht="28.5" hidden="1" customHeight="1" x14ac:dyDescent="0.2">
      <c r="A389" s="13" t="s">
        <v>9</v>
      </c>
      <c r="B389" s="111"/>
      <c r="C389" s="93" t="s">
        <v>36</v>
      </c>
      <c r="D389" s="40" t="s">
        <v>295</v>
      </c>
      <c r="E389" s="41" t="s">
        <v>323</v>
      </c>
      <c r="F389" s="40"/>
      <c r="G389" s="42" t="s">
        <v>110</v>
      </c>
      <c r="H389" s="43">
        <f>(2.35*18.8)*6/1000*1.03</f>
        <v>0.27303240000000006</v>
      </c>
      <c r="I389" s="44"/>
      <c r="J389" s="45"/>
      <c r="K389" s="46"/>
      <c r="L389" s="17"/>
      <c r="M389" s="47"/>
      <c r="N389" s="18"/>
      <c r="O389" s="47"/>
      <c r="P389" s="17"/>
      <c r="Q389" s="47"/>
      <c r="R389" s="18"/>
      <c r="S389" s="48"/>
      <c r="T389" s="49"/>
      <c r="U389" s="48"/>
      <c r="V389" s="49"/>
      <c r="W389" s="29"/>
      <c r="X389" s="89" t="s">
        <v>127</v>
      </c>
      <c r="Y389" s="8"/>
      <c r="Z389" s="8"/>
      <c r="AA389" s="8"/>
      <c r="AB389" s="8"/>
      <c r="AC389" s="8"/>
    </row>
    <row r="390" spans="1:29" ht="28.5" hidden="1" customHeight="1" x14ac:dyDescent="0.2">
      <c r="A390" s="13" t="s">
        <v>9</v>
      </c>
      <c r="B390" s="111"/>
      <c r="C390" s="93" t="s">
        <v>36</v>
      </c>
      <c r="D390" s="40" t="s">
        <v>295</v>
      </c>
      <c r="E390" s="41" t="s">
        <v>324</v>
      </c>
      <c r="F390" s="40"/>
      <c r="G390" s="42" t="s">
        <v>110</v>
      </c>
      <c r="H390" s="43">
        <f>((1.25*1.29)*23.55)*6/1000*1.03</f>
        <v>0.23468163750000001</v>
      </c>
      <c r="I390" s="44"/>
      <c r="J390" s="45"/>
      <c r="K390" s="46"/>
      <c r="L390" s="17"/>
      <c r="M390" s="47"/>
      <c r="N390" s="18"/>
      <c r="O390" s="47"/>
      <c r="P390" s="17"/>
      <c r="Q390" s="47"/>
      <c r="R390" s="18"/>
      <c r="S390" s="48"/>
      <c r="T390" s="49"/>
      <c r="U390" s="48"/>
      <c r="V390" s="49"/>
      <c r="W390" s="29"/>
      <c r="X390" s="89" t="s">
        <v>127</v>
      </c>
      <c r="Y390" s="8"/>
      <c r="Z390" s="8"/>
      <c r="AA390" s="8"/>
      <c r="AB390" s="8"/>
      <c r="AC390" s="8"/>
    </row>
    <row r="391" spans="1:29" s="69" customFormat="1" ht="38.25" x14ac:dyDescent="0.2">
      <c r="A391" s="66" t="s">
        <v>8</v>
      </c>
      <c r="B391" s="33" t="s">
        <v>294</v>
      </c>
      <c r="C391" s="23" t="s">
        <v>36</v>
      </c>
      <c r="D391" s="23" t="s">
        <v>295</v>
      </c>
      <c r="E391" s="24" t="s">
        <v>508</v>
      </c>
      <c r="F391" s="36"/>
      <c r="G391" s="37" t="s">
        <v>128</v>
      </c>
      <c r="H391" s="38">
        <f>SUM(H392:H393)/1.15</f>
        <v>3.9600000000000004</v>
      </c>
      <c r="I391" s="25"/>
      <c r="J391" s="34"/>
      <c r="K391" s="32"/>
      <c r="L391" s="26"/>
      <c r="M391" s="67"/>
      <c r="N391" s="28"/>
      <c r="O391" s="67"/>
      <c r="P391" s="26"/>
      <c r="Q391" s="67"/>
      <c r="R391" s="28"/>
      <c r="S391" s="27"/>
      <c r="T391" s="28"/>
      <c r="U391" s="27"/>
      <c r="V391" s="28"/>
      <c r="W391" s="68"/>
      <c r="X391" s="88"/>
      <c r="Y391" s="88"/>
      <c r="Z391" s="88"/>
      <c r="AA391" s="88"/>
      <c r="AB391" s="88"/>
      <c r="AC391" s="88"/>
    </row>
    <row r="392" spans="1:29" ht="28.5" hidden="1" customHeight="1" x14ac:dyDescent="0.2">
      <c r="A392" s="13" t="s">
        <v>9</v>
      </c>
      <c r="B392" s="111"/>
      <c r="C392" s="93" t="s">
        <v>36</v>
      </c>
      <c r="D392" s="40" t="s">
        <v>295</v>
      </c>
      <c r="E392" s="41" t="s">
        <v>325</v>
      </c>
      <c r="F392" s="40"/>
      <c r="G392" s="42" t="s">
        <v>107</v>
      </c>
      <c r="H392" s="43">
        <f>0.38*1.15*6</f>
        <v>2.6219999999999999</v>
      </c>
      <c r="I392" s="44"/>
      <c r="J392" s="45"/>
      <c r="K392" s="46"/>
      <c r="L392" s="17"/>
      <c r="M392" s="47"/>
      <c r="N392" s="18"/>
      <c r="O392" s="47"/>
      <c r="P392" s="17"/>
      <c r="Q392" s="47"/>
      <c r="R392" s="18"/>
      <c r="S392" s="48"/>
      <c r="T392" s="49"/>
      <c r="U392" s="48"/>
      <c r="V392" s="49"/>
      <c r="W392" s="29"/>
      <c r="X392" s="89" t="s">
        <v>170</v>
      </c>
      <c r="Y392" s="8"/>
      <c r="Z392" s="8"/>
      <c r="AA392" s="8"/>
      <c r="AB392" s="8"/>
      <c r="AC392" s="8"/>
    </row>
    <row r="393" spans="1:29" ht="28.5" hidden="1" customHeight="1" x14ac:dyDescent="0.2">
      <c r="A393" s="13" t="s">
        <v>9</v>
      </c>
      <c r="B393" s="111"/>
      <c r="C393" s="93" t="s">
        <v>36</v>
      </c>
      <c r="D393" s="40" t="s">
        <v>295</v>
      </c>
      <c r="E393" s="41" t="s">
        <v>326</v>
      </c>
      <c r="F393" s="40"/>
      <c r="G393" s="42" t="s">
        <v>107</v>
      </c>
      <c r="H393" s="43">
        <f>0.28*1.15*6</f>
        <v>1.9319999999999999</v>
      </c>
      <c r="I393" s="44"/>
      <c r="J393" s="45"/>
      <c r="K393" s="46"/>
      <c r="L393" s="17"/>
      <c r="M393" s="47"/>
      <c r="N393" s="18"/>
      <c r="O393" s="47"/>
      <c r="P393" s="17"/>
      <c r="Q393" s="47"/>
      <c r="R393" s="18"/>
      <c r="S393" s="48"/>
      <c r="T393" s="49"/>
      <c r="U393" s="48"/>
      <c r="V393" s="49"/>
      <c r="W393" s="29"/>
      <c r="X393" s="89" t="s">
        <v>170</v>
      </c>
      <c r="Y393" s="8"/>
      <c r="Z393" s="8"/>
      <c r="AA393" s="8"/>
      <c r="AB393" s="8"/>
      <c r="AC393" s="8"/>
    </row>
    <row r="394" spans="1:29" s="69" customFormat="1" ht="28.5" customHeight="1" x14ac:dyDescent="0.2">
      <c r="A394" s="66" t="s">
        <v>8</v>
      </c>
      <c r="B394" s="33" t="s">
        <v>296</v>
      </c>
      <c r="C394" s="23" t="s">
        <v>36</v>
      </c>
      <c r="D394" s="23" t="s">
        <v>295</v>
      </c>
      <c r="E394" s="24" t="s">
        <v>370</v>
      </c>
      <c r="F394" s="36"/>
      <c r="G394" s="37" t="s">
        <v>119</v>
      </c>
      <c r="H394" s="38">
        <f>H395/1.15</f>
        <v>113.52000000000001</v>
      </c>
      <c r="I394" s="25"/>
      <c r="J394" s="34"/>
      <c r="K394" s="32"/>
      <c r="L394" s="26"/>
      <c r="M394" s="67"/>
      <c r="N394" s="28"/>
      <c r="O394" s="67"/>
      <c r="P394" s="26"/>
      <c r="Q394" s="67"/>
      <c r="R394" s="28"/>
      <c r="S394" s="27"/>
      <c r="T394" s="28"/>
      <c r="U394" s="27"/>
      <c r="V394" s="28"/>
      <c r="W394" s="68"/>
      <c r="X394" s="114" t="s">
        <v>512</v>
      </c>
      <c r="Y394" s="114"/>
      <c r="Z394" s="114"/>
      <c r="AA394" s="88"/>
      <c r="AB394" s="88"/>
      <c r="AC394" s="88"/>
    </row>
    <row r="395" spans="1:29" ht="28.5" hidden="1" customHeight="1" x14ac:dyDescent="0.2">
      <c r="A395" s="13" t="s">
        <v>9</v>
      </c>
      <c r="B395" s="111"/>
      <c r="C395" s="93" t="s">
        <v>36</v>
      </c>
      <c r="D395" s="40" t="s">
        <v>295</v>
      </c>
      <c r="E395" s="41" t="s">
        <v>327</v>
      </c>
      <c r="F395" s="40"/>
      <c r="G395" s="42" t="s">
        <v>113</v>
      </c>
      <c r="H395" s="43">
        <f>18.92*1.15*6</f>
        <v>130.548</v>
      </c>
      <c r="I395" s="44"/>
      <c r="J395" s="45"/>
      <c r="K395" s="46"/>
      <c r="L395" s="17"/>
      <c r="M395" s="47"/>
      <c r="N395" s="18"/>
      <c r="O395" s="47"/>
      <c r="P395" s="17"/>
      <c r="Q395" s="47"/>
      <c r="R395" s="18"/>
      <c r="S395" s="48"/>
      <c r="T395" s="49"/>
      <c r="U395" s="48"/>
      <c r="V395" s="49"/>
      <c r="W395" s="29"/>
      <c r="X395" s="89" t="s">
        <v>328</v>
      </c>
      <c r="Y395" s="8"/>
      <c r="Z395" s="8"/>
      <c r="AA395" s="8"/>
      <c r="AB395" s="8"/>
      <c r="AC395" s="8"/>
    </row>
    <row r="396" spans="1:29" s="69" customFormat="1" ht="28.5" customHeight="1" x14ac:dyDescent="0.2">
      <c r="A396" s="66" t="s">
        <v>8</v>
      </c>
      <c r="B396" s="33" t="s">
        <v>297</v>
      </c>
      <c r="C396" s="23" t="s">
        <v>36</v>
      </c>
      <c r="D396" s="23" t="s">
        <v>295</v>
      </c>
      <c r="E396" s="24" t="s">
        <v>371</v>
      </c>
      <c r="F396" s="36"/>
      <c r="G396" s="37" t="s">
        <v>193</v>
      </c>
      <c r="H396" s="38">
        <f>H397/1.15</f>
        <v>26.280000000000005</v>
      </c>
      <c r="I396" s="25"/>
      <c r="J396" s="34"/>
      <c r="K396" s="32"/>
      <c r="L396" s="26"/>
      <c r="M396" s="67"/>
      <c r="N396" s="28"/>
      <c r="O396" s="67"/>
      <c r="P396" s="26"/>
      <c r="Q396" s="67"/>
      <c r="R396" s="28"/>
      <c r="S396" s="27"/>
      <c r="T396" s="28"/>
      <c r="U396" s="27"/>
      <c r="V396" s="28"/>
      <c r="W396" s="68"/>
      <c r="X396" s="114" t="s">
        <v>510</v>
      </c>
      <c r="Y396" s="114"/>
      <c r="Z396" s="114"/>
      <c r="AA396" s="114"/>
      <c r="AB396" s="114"/>
      <c r="AC396" s="114"/>
    </row>
    <row r="397" spans="1:29" ht="28.5" hidden="1" customHeight="1" x14ac:dyDescent="0.2">
      <c r="A397" s="13" t="s">
        <v>9</v>
      </c>
      <c r="B397" s="111"/>
      <c r="C397" s="93" t="s">
        <v>36</v>
      </c>
      <c r="D397" s="40" t="s">
        <v>295</v>
      </c>
      <c r="E397" s="41" t="s">
        <v>329</v>
      </c>
      <c r="F397" s="40"/>
      <c r="G397" s="42" t="s">
        <v>193</v>
      </c>
      <c r="H397" s="43">
        <f>4.38*1.15*6</f>
        <v>30.222000000000001</v>
      </c>
      <c r="I397" s="44"/>
      <c r="J397" s="45"/>
      <c r="K397" s="46"/>
      <c r="L397" s="17"/>
      <c r="M397" s="47"/>
      <c r="N397" s="18"/>
      <c r="O397" s="47"/>
      <c r="P397" s="17"/>
      <c r="Q397" s="47"/>
      <c r="R397" s="18"/>
      <c r="S397" s="48"/>
      <c r="T397" s="49"/>
      <c r="U397" s="48"/>
      <c r="V397" s="49"/>
      <c r="W397" s="29"/>
      <c r="X397" s="89" t="s">
        <v>330</v>
      </c>
      <c r="Y397" s="8"/>
      <c r="Z397" s="8"/>
      <c r="AA397" s="8"/>
      <c r="AB397" s="8"/>
      <c r="AC397" s="8"/>
    </row>
    <row r="398" spans="1:29" ht="28.5" hidden="1" customHeight="1" x14ac:dyDescent="0.2">
      <c r="A398" s="13" t="s">
        <v>9</v>
      </c>
      <c r="B398" s="111"/>
      <c r="C398" s="93" t="s">
        <v>36</v>
      </c>
      <c r="D398" s="40" t="s">
        <v>295</v>
      </c>
      <c r="E398" s="41" t="s">
        <v>191</v>
      </c>
      <c r="F398" s="40"/>
      <c r="G398" s="42" t="s">
        <v>69</v>
      </c>
      <c r="H398" s="112">
        <f>H396/0.2*6</f>
        <v>788.40000000000009</v>
      </c>
      <c r="I398" s="44"/>
      <c r="J398" s="45"/>
      <c r="K398" s="46"/>
      <c r="L398" s="17"/>
      <c r="M398" s="47"/>
      <c r="N398" s="18"/>
      <c r="O398" s="47"/>
      <c r="P398" s="17"/>
      <c r="Q398" s="47"/>
      <c r="R398" s="18"/>
      <c r="S398" s="48"/>
      <c r="T398" s="49"/>
      <c r="U398" s="48"/>
      <c r="V398" s="49"/>
      <c r="W398" s="29"/>
      <c r="X398" s="89" t="s">
        <v>333</v>
      </c>
      <c r="Y398" s="8"/>
      <c r="Z398" s="8"/>
      <c r="AA398" s="8"/>
      <c r="AB398" s="8"/>
      <c r="AC398" s="8"/>
    </row>
    <row r="399" spans="1:29" s="69" customFormat="1" ht="28.5" customHeight="1" x14ac:dyDescent="0.2">
      <c r="A399" s="66" t="s">
        <v>8</v>
      </c>
      <c r="B399" s="33" t="s">
        <v>298</v>
      </c>
      <c r="C399" s="23" t="s">
        <v>36</v>
      </c>
      <c r="D399" s="23" t="s">
        <v>295</v>
      </c>
      <c r="E399" s="24" t="s">
        <v>368</v>
      </c>
      <c r="F399" s="36"/>
      <c r="G399" s="37" t="s">
        <v>128</v>
      </c>
      <c r="H399" s="38">
        <f>H400/1.15</f>
        <v>10.884</v>
      </c>
      <c r="I399" s="25"/>
      <c r="J399" s="34"/>
      <c r="K399" s="32"/>
      <c r="L399" s="26"/>
      <c r="M399" s="67"/>
      <c r="N399" s="28"/>
      <c r="O399" s="67"/>
      <c r="P399" s="26"/>
      <c r="Q399" s="67"/>
      <c r="R399" s="28"/>
      <c r="S399" s="27"/>
      <c r="T399" s="28"/>
      <c r="U399" s="27"/>
      <c r="V399" s="28"/>
      <c r="W399" s="68"/>
      <c r="X399" s="88"/>
      <c r="Y399" s="88"/>
      <c r="Z399" s="88"/>
      <c r="AA399" s="88"/>
      <c r="AB399" s="88"/>
      <c r="AC399" s="88"/>
    </row>
    <row r="400" spans="1:29" ht="28.5" hidden="1" customHeight="1" x14ac:dyDescent="0.2">
      <c r="A400" s="13" t="s">
        <v>9</v>
      </c>
      <c r="B400" s="111"/>
      <c r="C400" s="93" t="s">
        <v>36</v>
      </c>
      <c r="D400" s="40" t="s">
        <v>295</v>
      </c>
      <c r="E400" s="41" t="s">
        <v>331</v>
      </c>
      <c r="F400" s="40"/>
      <c r="G400" s="42" t="s">
        <v>107</v>
      </c>
      <c r="H400" s="43">
        <f>18.14*0.1*1.15*6</f>
        <v>12.5166</v>
      </c>
      <c r="I400" s="44"/>
      <c r="J400" s="45"/>
      <c r="K400" s="46"/>
      <c r="L400" s="17"/>
      <c r="M400" s="47"/>
      <c r="N400" s="18"/>
      <c r="O400" s="47"/>
      <c r="P400" s="17"/>
      <c r="Q400" s="47"/>
      <c r="R400" s="18"/>
      <c r="S400" s="48"/>
      <c r="T400" s="49"/>
      <c r="U400" s="48"/>
      <c r="V400" s="49"/>
      <c r="W400" s="29"/>
      <c r="X400" s="89" t="s">
        <v>330</v>
      </c>
      <c r="Y400" s="8"/>
      <c r="Z400" s="8"/>
      <c r="AA400" s="8"/>
      <c r="AB400" s="8"/>
      <c r="AC400" s="8"/>
    </row>
    <row r="401" spans="1:29" s="69" customFormat="1" ht="28.5" customHeight="1" x14ac:dyDescent="0.2">
      <c r="A401" s="66" t="s">
        <v>8</v>
      </c>
      <c r="B401" s="33" t="s">
        <v>299</v>
      </c>
      <c r="C401" s="23" t="s">
        <v>36</v>
      </c>
      <c r="D401" s="23" t="s">
        <v>295</v>
      </c>
      <c r="E401" s="24" t="s">
        <v>369</v>
      </c>
      <c r="F401" s="36"/>
      <c r="G401" s="37" t="s">
        <v>119</v>
      </c>
      <c r="H401" s="38">
        <f>H402/1.15</f>
        <v>108.84</v>
      </c>
      <c r="I401" s="25"/>
      <c r="J401" s="34"/>
      <c r="K401" s="32"/>
      <c r="L401" s="26"/>
      <c r="M401" s="67"/>
      <c r="N401" s="28"/>
      <c r="O401" s="67"/>
      <c r="P401" s="26"/>
      <c r="Q401" s="67"/>
      <c r="R401" s="28"/>
      <c r="S401" s="27"/>
      <c r="T401" s="28"/>
      <c r="U401" s="27"/>
      <c r="V401" s="28"/>
      <c r="W401" s="68"/>
      <c r="X401" s="88"/>
      <c r="Y401" s="88"/>
      <c r="Z401" s="88"/>
      <c r="AA401" s="88"/>
      <c r="AB401" s="88"/>
      <c r="AC401" s="88"/>
    </row>
    <row r="402" spans="1:29" ht="28.5" hidden="1" customHeight="1" x14ac:dyDescent="0.2">
      <c r="A402" s="13" t="s">
        <v>9</v>
      </c>
      <c r="B402" s="111"/>
      <c r="C402" s="93" t="s">
        <v>36</v>
      </c>
      <c r="D402" s="40" t="s">
        <v>295</v>
      </c>
      <c r="E402" s="41" t="s">
        <v>332</v>
      </c>
      <c r="F402" s="40"/>
      <c r="G402" s="42" t="s">
        <v>113</v>
      </c>
      <c r="H402" s="43">
        <f>18.14*1.15*6</f>
        <v>125.166</v>
      </c>
      <c r="I402" s="44"/>
      <c r="J402" s="45"/>
      <c r="K402" s="46"/>
      <c r="L402" s="17"/>
      <c r="M402" s="47"/>
      <c r="N402" s="18"/>
      <c r="O402" s="47"/>
      <c r="P402" s="17"/>
      <c r="Q402" s="47"/>
      <c r="R402" s="18"/>
      <c r="S402" s="48"/>
      <c r="T402" s="49"/>
      <c r="U402" s="48"/>
      <c r="V402" s="49"/>
      <c r="W402" s="29"/>
      <c r="X402" s="89" t="s">
        <v>328</v>
      </c>
      <c r="Y402" s="8"/>
      <c r="Z402" s="8"/>
      <c r="AA402" s="8"/>
      <c r="AB402" s="8"/>
      <c r="AC402" s="8"/>
    </row>
    <row r="403" spans="1:29" s="85" customFormat="1" ht="28.5" customHeight="1" x14ac:dyDescent="0.2">
      <c r="A403" s="70" t="s">
        <v>14</v>
      </c>
      <c r="B403" s="71">
        <v>18</v>
      </c>
      <c r="C403" s="72" t="s">
        <v>36</v>
      </c>
      <c r="D403" s="75" t="s">
        <v>295</v>
      </c>
      <c r="E403" s="74" t="s">
        <v>293</v>
      </c>
      <c r="F403" s="75"/>
      <c r="G403" s="73" t="s">
        <v>69</v>
      </c>
      <c r="H403" s="76">
        <v>6</v>
      </c>
      <c r="I403" s="77"/>
      <c r="J403" s="76"/>
      <c r="K403" s="78"/>
      <c r="L403" s="79"/>
      <c r="M403" s="80"/>
      <c r="N403" s="81"/>
      <c r="O403" s="82"/>
      <c r="P403" s="79"/>
      <c r="Q403" s="80"/>
      <c r="R403" s="81"/>
      <c r="S403" s="80"/>
      <c r="T403" s="83"/>
      <c r="U403" s="84"/>
      <c r="V403" s="83"/>
    </row>
    <row r="404" spans="1:29" s="69" customFormat="1" ht="28.5" customHeight="1" x14ac:dyDescent="0.2">
      <c r="A404" s="66" t="s">
        <v>8</v>
      </c>
      <c r="B404" s="33" t="s">
        <v>377</v>
      </c>
      <c r="C404" s="23" t="s">
        <v>36</v>
      </c>
      <c r="D404" s="23" t="s">
        <v>295</v>
      </c>
      <c r="E404" s="24" t="s">
        <v>367</v>
      </c>
      <c r="F404" s="36"/>
      <c r="G404" s="37" t="s">
        <v>110</v>
      </c>
      <c r="H404" s="38">
        <f>SUM(H405:H409)/1.03</f>
        <v>0.16042920000000002</v>
      </c>
      <c r="I404" s="25"/>
      <c r="J404" s="34"/>
      <c r="K404" s="32"/>
      <c r="L404" s="26"/>
      <c r="M404" s="67"/>
      <c r="N404" s="28"/>
      <c r="O404" s="67"/>
      <c r="P404" s="26"/>
      <c r="Q404" s="67"/>
      <c r="R404" s="28"/>
      <c r="S404" s="27"/>
      <c r="T404" s="28"/>
      <c r="U404" s="27"/>
      <c r="V404" s="28"/>
      <c r="W404" s="68"/>
      <c r="X404" s="88"/>
      <c r="Y404" s="88"/>
      <c r="Z404" s="88"/>
      <c r="AA404" s="88"/>
      <c r="AB404" s="88"/>
      <c r="AC404" s="88"/>
    </row>
    <row r="405" spans="1:29" ht="28.5" hidden="1" customHeight="1" x14ac:dyDescent="0.2">
      <c r="A405" s="13" t="s">
        <v>9</v>
      </c>
      <c r="B405" s="111"/>
      <c r="C405" s="93" t="s">
        <v>36</v>
      </c>
      <c r="D405" s="40" t="s">
        <v>295</v>
      </c>
      <c r="E405" s="41" t="s">
        <v>335</v>
      </c>
      <c r="F405" s="40"/>
      <c r="G405" s="42" t="s">
        <v>110</v>
      </c>
      <c r="H405" s="113">
        <f>((0.94*0.38)*2)*6/1000*1.03</f>
        <v>4.4149919999999995E-3</v>
      </c>
      <c r="I405" s="44"/>
      <c r="J405" s="45"/>
      <c r="K405" s="46"/>
      <c r="L405" s="17"/>
      <c r="M405" s="47"/>
      <c r="N405" s="18"/>
      <c r="O405" s="47"/>
      <c r="P405" s="17"/>
      <c r="Q405" s="47"/>
      <c r="R405" s="18"/>
      <c r="S405" s="48"/>
      <c r="T405" s="49"/>
      <c r="U405" s="48"/>
      <c r="V405" s="49"/>
      <c r="W405" s="29"/>
      <c r="X405" s="89" t="s">
        <v>127</v>
      </c>
      <c r="Y405" s="8"/>
      <c r="Z405" s="8"/>
      <c r="AA405" s="8"/>
      <c r="AB405" s="8"/>
      <c r="AC405" s="8"/>
    </row>
    <row r="406" spans="1:29" ht="28.5" hidden="1" customHeight="1" x14ac:dyDescent="0.2">
      <c r="A406" s="13" t="s">
        <v>9</v>
      </c>
      <c r="B406" s="111"/>
      <c r="C406" s="93" t="s">
        <v>36</v>
      </c>
      <c r="D406" s="40" t="s">
        <v>295</v>
      </c>
      <c r="E406" s="41" t="s">
        <v>336</v>
      </c>
      <c r="F406" s="40"/>
      <c r="G406" s="42" t="s">
        <v>110</v>
      </c>
      <c r="H406" s="43">
        <f>(0.94*3.64)*6/1000*1.03</f>
        <v>2.1145488E-2</v>
      </c>
      <c r="I406" s="44"/>
      <c r="J406" s="45"/>
      <c r="K406" s="46"/>
      <c r="L406" s="17"/>
      <c r="M406" s="47"/>
      <c r="N406" s="18"/>
      <c r="O406" s="47"/>
      <c r="P406" s="17"/>
      <c r="Q406" s="47"/>
      <c r="R406" s="18"/>
      <c r="S406" s="48"/>
      <c r="T406" s="49"/>
      <c r="U406" s="48"/>
      <c r="V406" s="49"/>
      <c r="W406" s="29"/>
      <c r="X406" s="89" t="s">
        <v>127</v>
      </c>
      <c r="Y406" s="8"/>
      <c r="Z406" s="8"/>
      <c r="AA406" s="8"/>
      <c r="AB406" s="8"/>
      <c r="AC406" s="8"/>
    </row>
    <row r="407" spans="1:29" ht="28.5" hidden="1" customHeight="1" x14ac:dyDescent="0.2">
      <c r="A407" s="13" t="s">
        <v>9</v>
      </c>
      <c r="B407" s="111"/>
      <c r="C407" s="93" t="s">
        <v>36</v>
      </c>
      <c r="D407" s="40" t="s">
        <v>295</v>
      </c>
      <c r="E407" s="41" t="s">
        <v>337</v>
      </c>
      <c r="F407" s="40"/>
      <c r="G407" s="42" t="s">
        <v>110</v>
      </c>
      <c r="H407" s="43">
        <f>(0.94*4.34)*6/1000*1.03</f>
        <v>2.5211927999999995E-2</v>
      </c>
      <c r="I407" s="44"/>
      <c r="J407" s="45"/>
      <c r="K407" s="46"/>
      <c r="L407" s="17"/>
      <c r="M407" s="47"/>
      <c r="N407" s="18"/>
      <c r="O407" s="47"/>
      <c r="P407" s="17"/>
      <c r="Q407" s="47"/>
      <c r="R407" s="18"/>
      <c r="S407" s="48"/>
      <c r="T407" s="49"/>
      <c r="U407" s="48"/>
      <c r="V407" s="49"/>
      <c r="W407" s="29"/>
      <c r="X407" s="89" t="s">
        <v>127</v>
      </c>
      <c r="Y407" s="8"/>
      <c r="Z407" s="8"/>
      <c r="AA407" s="8"/>
      <c r="AB407" s="8"/>
      <c r="AC407" s="8"/>
    </row>
    <row r="408" spans="1:29" ht="28.5" hidden="1" customHeight="1" x14ac:dyDescent="0.2">
      <c r="A408" s="13" t="s">
        <v>9</v>
      </c>
      <c r="B408" s="111"/>
      <c r="C408" s="93" t="s">
        <v>36</v>
      </c>
      <c r="D408" s="40" t="s">
        <v>295</v>
      </c>
      <c r="E408" s="41" t="s">
        <v>338</v>
      </c>
      <c r="F408" s="40"/>
      <c r="G408" s="42" t="s">
        <v>110</v>
      </c>
      <c r="H408" s="43">
        <f>(2.2*4.2)*6/1000*1.03</f>
        <v>5.7103200000000014E-2</v>
      </c>
      <c r="I408" s="44"/>
      <c r="J408" s="45"/>
      <c r="K408" s="46"/>
      <c r="L408" s="17"/>
      <c r="M408" s="47"/>
      <c r="N408" s="18"/>
      <c r="O408" s="47"/>
      <c r="P408" s="17"/>
      <c r="Q408" s="47"/>
      <c r="R408" s="18"/>
      <c r="S408" s="48"/>
      <c r="T408" s="49"/>
      <c r="U408" s="48"/>
      <c r="V408" s="49"/>
      <c r="W408" s="29"/>
      <c r="X408" s="89" t="s">
        <v>127</v>
      </c>
      <c r="Y408" s="8"/>
      <c r="Z408" s="8"/>
      <c r="AA408" s="8"/>
      <c r="AB408" s="8"/>
      <c r="AC408" s="8"/>
    </row>
    <row r="409" spans="1:29" ht="28.5" hidden="1" customHeight="1" x14ac:dyDescent="0.2">
      <c r="A409" s="13" t="s">
        <v>9</v>
      </c>
      <c r="B409" s="111"/>
      <c r="C409" s="93" t="s">
        <v>36</v>
      </c>
      <c r="D409" s="40" t="s">
        <v>295</v>
      </c>
      <c r="E409" s="41" t="s">
        <v>345</v>
      </c>
      <c r="F409" s="40"/>
      <c r="G409" s="42" t="s">
        <v>110</v>
      </c>
      <c r="H409" s="43">
        <f>(1.91*4.86)*6/1000*1.03</f>
        <v>5.7366467999999997E-2</v>
      </c>
      <c r="I409" s="44"/>
      <c r="J409" s="45"/>
      <c r="K409" s="46"/>
      <c r="L409" s="17"/>
      <c r="M409" s="47"/>
      <c r="N409" s="18"/>
      <c r="O409" s="47"/>
      <c r="P409" s="17"/>
      <c r="Q409" s="47"/>
      <c r="R409" s="18"/>
      <c r="S409" s="48"/>
      <c r="T409" s="49"/>
      <c r="U409" s="48"/>
      <c r="V409" s="49"/>
      <c r="W409" s="29"/>
      <c r="X409" s="89" t="s">
        <v>127</v>
      </c>
      <c r="Y409" s="8"/>
      <c r="Z409" s="8"/>
      <c r="AA409" s="8"/>
      <c r="AB409" s="8"/>
      <c r="AC409" s="8"/>
    </row>
    <row r="410" spans="1:29" s="69" customFormat="1" ht="28.5" customHeight="1" x14ac:dyDescent="0.2">
      <c r="A410" s="66" t="s">
        <v>8</v>
      </c>
      <c r="B410" s="33" t="s">
        <v>376</v>
      </c>
      <c r="C410" s="23" t="s">
        <v>36</v>
      </c>
      <c r="D410" s="23" t="s">
        <v>295</v>
      </c>
      <c r="E410" s="24" t="s">
        <v>373</v>
      </c>
      <c r="F410" s="36"/>
      <c r="G410" s="37" t="s">
        <v>119</v>
      </c>
      <c r="H410" s="38">
        <f>H411/1.15</f>
        <v>9.6</v>
      </c>
      <c r="I410" s="25"/>
      <c r="J410" s="34"/>
      <c r="K410" s="32"/>
      <c r="L410" s="26"/>
      <c r="M410" s="67"/>
      <c r="N410" s="28"/>
      <c r="O410" s="67"/>
      <c r="P410" s="26"/>
      <c r="Q410" s="67"/>
      <c r="R410" s="28"/>
      <c r="S410" s="27"/>
      <c r="T410" s="28"/>
      <c r="U410" s="27"/>
      <c r="V410" s="28"/>
      <c r="W410" s="68"/>
      <c r="X410" s="88"/>
      <c r="Y410" s="88"/>
      <c r="Z410" s="88"/>
      <c r="AA410" s="88"/>
      <c r="AB410" s="88"/>
      <c r="AC410" s="88"/>
    </row>
    <row r="411" spans="1:29" ht="28.5" hidden="1" customHeight="1" x14ac:dyDescent="0.2">
      <c r="A411" s="13" t="s">
        <v>9</v>
      </c>
      <c r="B411" s="111"/>
      <c r="C411" s="93" t="s">
        <v>36</v>
      </c>
      <c r="D411" s="40" t="s">
        <v>295</v>
      </c>
      <c r="E411" s="41" t="s">
        <v>339</v>
      </c>
      <c r="F411" s="40"/>
      <c r="G411" s="42" t="s">
        <v>113</v>
      </c>
      <c r="H411" s="43">
        <f>1.6*1.15*6</f>
        <v>11.04</v>
      </c>
      <c r="I411" s="44"/>
      <c r="J411" s="45"/>
      <c r="K411" s="46"/>
      <c r="L411" s="17"/>
      <c r="M411" s="47"/>
      <c r="N411" s="18"/>
      <c r="O411" s="47"/>
      <c r="P411" s="17"/>
      <c r="Q411" s="47"/>
      <c r="R411" s="18"/>
      <c r="S411" s="48"/>
      <c r="T411" s="49"/>
      <c r="U411" s="48"/>
      <c r="V411" s="49"/>
      <c r="W411" s="29"/>
      <c r="X411" s="89" t="s">
        <v>328</v>
      </c>
      <c r="Y411" s="8"/>
      <c r="Z411" s="8"/>
      <c r="AA411" s="8"/>
      <c r="AB411" s="8"/>
      <c r="AC411" s="8"/>
    </row>
    <row r="412" spans="1:29" ht="28.5" hidden="1" customHeight="1" x14ac:dyDescent="0.2">
      <c r="A412" s="13" t="s">
        <v>9</v>
      </c>
      <c r="B412" s="111"/>
      <c r="C412" s="93" t="s">
        <v>36</v>
      </c>
      <c r="D412" s="40" t="s">
        <v>295</v>
      </c>
      <c r="E412" s="41" t="s">
        <v>374</v>
      </c>
      <c r="F412" s="40"/>
      <c r="G412" s="42" t="s">
        <v>69</v>
      </c>
      <c r="H412" s="43">
        <f>H410*8</f>
        <v>76.8</v>
      </c>
      <c r="I412" s="44"/>
      <c r="J412" s="45"/>
      <c r="K412" s="46"/>
      <c r="L412" s="17"/>
      <c r="M412" s="47"/>
      <c r="N412" s="18"/>
      <c r="O412" s="47"/>
      <c r="P412" s="17"/>
      <c r="Q412" s="47"/>
      <c r="R412" s="18"/>
      <c r="S412" s="48"/>
      <c r="T412" s="49"/>
      <c r="U412" s="48"/>
      <c r="V412" s="49"/>
      <c r="W412" s="29"/>
      <c r="X412" s="89" t="s">
        <v>375</v>
      </c>
      <c r="Y412" s="8"/>
      <c r="Z412" s="8"/>
      <c r="AA412" s="8"/>
      <c r="AB412" s="8"/>
      <c r="AC412" s="8"/>
    </row>
    <row r="413" spans="1:29" s="85" customFormat="1" ht="28.5" customHeight="1" x14ac:dyDescent="0.2">
      <c r="A413" s="70" t="s">
        <v>14</v>
      </c>
      <c r="B413" s="71">
        <v>19</v>
      </c>
      <c r="C413" s="72" t="s">
        <v>36</v>
      </c>
      <c r="D413" s="75" t="s">
        <v>295</v>
      </c>
      <c r="E413" s="74" t="s">
        <v>300</v>
      </c>
      <c r="F413" s="75"/>
      <c r="G413" s="73" t="s">
        <v>69</v>
      </c>
      <c r="H413" s="76">
        <v>3</v>
      </c>
      <c r="I413" s="77"/>
      <c r="J413" s="76"/>
      <c r="K413" s="78"/>
      <c r="L413" s="79"/>
      <c r="M413" s="80"/>
      <c r="N413" s="81"/>
      <c r="O413" s="82"/>
      <c r="P413" s="79"/>
      <c r="Q413" s="80"/>
      <c r="R413" s="81"/>
      <c r="S413" s="80"/>
      <c r="T413" s="83"/>
      <c r="U413" s="84"/>
      <c r="V413" s="83"/>
    </row>
    <row r="414" spans="1:29" s="69" customFormat="1" ht="28.5" customHeight="1" x14ac:dyDescent="0.2">
      <c r="A414" s="66" t="s">
        <v>8</v>
      </c>
      <c r="B414" s="33" t="s">
        <v>378</v>
      </c>
      <c r="C414" s="23" t="s">
        <v>36</v>
      </c>
      <c r="D414" s="23" t="s">
        <v>295</v>
      </c>
      <c r="E414" s="24" t="s">
        <v>366</v>
      </c>
      <c r="F414" s="36"/>
      <c r="G414" s="37" t="s">
        <v>110</v>
      </c>
      <c r="H414" s="38">
        <f>SUM(H415:H419)/1.03</f>
        <v>0.9825653849999999</v>
      </c>
      <c r="I414" s="25"/>
      <c r="J414" s="34"/>
      <c r="K414" s="32"/>
      <c r="L414" s="26"/>
      <c r="M414" s="67"/>
      <c r="N414" s="28"/>
      <c r="O414" s="67"/>
      <c r="P414" s="26"/>
      <c r="Q414" s="67"/>
      <c r="R414" s="28"/>
      <c r="S414" s="27"/>
      <c r="T414" s="28"/>
      <c r="U414" s="27"/>
      <c r="V414" s="28"/>
      <c r="W414" s="68"/>
      <c r="X414" s="88"/>
      <c r="Y414" s="88"/>
      <c r="Z414" s="88"/>
      <c r="AA414" s="88"/>
      <c r="AB414" s="88"/>
      <c r="AC414" s="88"/>
    </row>
    <row r="415" spans="1:29" ht="28.5" hidden="1" customHeight="1" x14ac:dyDescent="0.2">
      <c r="A415" s="13" t="s">
        <v>9</v>
      </c>
      <c r="B415" s="111"/>
      <c r="C415" s="93" t="s">
        <v>36</v>
      </c>
      <c r="D415" s="40" t="s">
        <v>295</v>
      </c>
      <c r="E415" s="41" t="s">
        <v>320</v>
      </c>
      <c r="F415" s="40"/>
      <c r="G415" s="42" t="s">
        <v>110</v>
      </c>
      <c r="H415" s="43">
        <f>(5.96*10.79)*3/1000*1.03</f>
        <v>0.19871295599999997</v>
      </c>
      <c r="I415" s="44"/>
      <c r="J415" s="45"/>
      <c r="K415" s="46"/>
      <c r="L415" s="17"/>
      <c r="M415" s="47"/>
      <c r="N415" s="18"/>
      <c r="O415" s="47"/>
      <c r="P415" s="17"/>
      <c r="Q415" s="47"/>
      <c r="R415" s="18"/>
      <c r="S415" s="48"/>
      <c r="T415" s="49"/>
      <c r="U415" s="48"/>
      <c r="V415" s="49"/>
      <c r="W415" s="29"/>
      <c r="X415" s="89" t="s">
        <v>127</v>
      </c>
      <c r="Y415" s="8"/>
      <c r="Z415" s="8"/>
      <c r="AA415" s="8"/>
      <c r="AB415" s="8"/>
      <c r="AC415" s="8"/>
    </row>
    <row r="416" spans="1:29" ht="28.5" hidden="1" customHeight="1" x14ac:dyDescent="0.2">
      <c r="A416" s="13" t="s">
        <v>9</v>
      </c>
      <c r="B416" s="111"/>
      <c r="C416" s="93" t="s">
        <v>36</v>
      </c>
      <c r="D416" s="40" t="s">
        <v>295</v>
      </c>
      <c r="E416" s="41" t="s">
        <v>321</v>
      </c>
      <c r="F416" s="40"/>
      <c r="G416" s="42" t="s">
        <v>110</v>
      </c>
      <c r="H416" s="43">
        <f>(28.58*6.39)*3/1000*1.03</f>
        <v>0.56431495799999998</v>
      </c>
      <c r="I416" s="44"/>
      <c r="J416" s="45"/>
      <c r="K416" s="46"/>
      <c r="L416" s="17"/>
      <c r="M416" s="47"/>
      <c r="N416" s="18"/>
      <c r="O416" s="47"/>
      <c r="P416" s="17"/>
      <c r="Q416" s="47"/>
      <c r="R416" s="18"/>
      <c r="S416" s="48"/>
      <c r="T416" s="49"/>
      <c r="U416" s="48"/>
      <c r="V416" s="49"/>
      <c r="W416" s="29"/>
      <c r="X416" s="89" t="s">
        <v>127</v>
      </c>
      <c r="Y416" s="8"/>
      <c r="Z416" s="8"/>
      <c r="AA416" s="8"/>
      <c r="AB416" s="8"/>
      <c r="AC416" s="8"/>
    </row>
    <row r="417" spans="1:29" ht="28.5" hidden="1" customHeight="1" x14ac:dyDescent="0.2">
      <c r="A417" s="13" t="s">
        <v>9</v>
      </c>
      <c r="B417" s="111"/>
      <c r="C417" s="93" t="s">
        <v>36</v>
      </c>
      <c r="D417" s="40" t="s">
        <v>295</v>
      </c>
      <c r="E417" s="41" t="s">
        <v>322</v>
      </c>
      <c r="F417" s="40"/>
      <c r="G417" s="42" t="s">
        <v>110</v>
      </c>
      <c r="H417" s="43">
        <f>((1.91*0.3)*4)*3/1000*1.03</f>
        <v>7.0822799999999998E-3</v>
      </c>
      <c r="I417" s="44"/>
      <c r="J417" s="45"/>
      <c r="K417" s="46"/>
      <c r="L417" s="17"/>
      <c r="M417" s="47"/>
      <c r="N417" s="18"/>
      <c r="O417" s="47"/>
      <c r="P417" s="17"/>
      <c r="Q417" s="47"/>
      <c r="R417" s="18"/>
      <c r="S417" s="48"/>
      <c r="T417" s="49"/>
      <c r="U417" s="48"/>
      <c r="V417" s="49"/>
      <c r="W417" s="29"/>
      <c r="X417" s="89" t="s">
        <v>127</v>
      </c>
      <c r="Y417" s="8"/>
      <c r="Z417" s="8"/>
      <c r="AA417" s="8"/>
      <c r="AB417" s="8"/>
      <c r="AC417" s="8"/>
    </row>
    <row r="418" spans="1:29" ht="28.5" hidden="1" customHeight="1" x14ac:dyDescent="0.2">
      <c r="A418" s="13" t="s">
        <v>9</v>
      </c>
      <c r="B418" s="111"/>
      <c r="C418" s="93" t="s">
        <v>36</v>
      </c>
      <c r="D418" s="40" t="s">
        <v>295</v>
      </c>
      <c r="E418" s="41" t="s">
        <v>323</v>
      </c>
      <c r="F418" s="40"/>
      <c r="G418" s="42" t="s">
        <v>110</v>
      </c>
      <c r="H418" s="43">
        <f>(2.35*20.08)*3/1000*1.03</f>
        <v>0.14581092000000001</v>
      </c>
      <c r="I418" s="44"/>
      <c r="J418" s="45"/>
      <c r="K418" s="46"/>
      <c r="L418" s="17"/>
      <c r="M418" s="47"/>
      <c r="N418" s="18"/>
      <c r="O418" s="47"/>
      <c r="P418" s="17"/>
      <c r="Q418" s="47"/>
      <c r="R418" s="18"/>
      <c r="S418" s="48"/>
      <c r="T418" s="49"/>
      <c r="U418" s="48"/>
      <c r="V418" s="49"/>
      <c r="W418" s="29"/>
      <c r="X418" s="89" t="s">
        <v>127</v>
      </c>
      <c r="Y418" s="8"/>
      <c r="Z418" s="8"/>
      <c r="AA418" s="8"/>
      <c r="AB418" s="8"/>
      <c r="AC418" s="8"/>
    </row>
    <row r="419" spans="1:29" ht="28.5" hidden="1" customHeight="1" x14ac:dyDescent="0.2">
      <c r="A419" s="13" t="s">
        <v>9</v>
      </c>
      <c r="B419" s="111"/>
      <c r="C419" s="93" t="s">
        <v>36</v>
      </c>
      <c r="D419" s="40" t="s">
        <v>295</v>
      </c>
      <c r="E419" s="41" t="s">
        <v>334</v>
      </c>
      <c r="F419" s="40"/>
      <c r="G419" s="42" t="s">
        <v>110</v>
      </c>
      <c r="H419" s="43">
        <f>((1.11*1.19)*23.55)*3/1000*1.03</f>
        <v>9.6121232550000005E-2</v>
      </c>
      <c r="I419" s="44"/>
      <c r="J419" s="45"/>
      <c r="K419" s="46"/>
      <c r="L419" s="17"/>
      <c r="M419" s="47"/>
      <c r="N419" s="18"/>
      <c r="O419" s="47"/>
      <c r="P419" s="17"/>
      <c r="Q419" s="47"/>
      <c r="R419" s="18"/>
      <c r="S419" s="48"/>
      <c r="T419" s="49"/>
      <c r="U419" s="48"/>
      <c r="V419" s="49"/>
      <c r="W419" s="29"/>
      <c r="X419" s="89" t="s">
        <v>127</v>
      </c>
      <c r="Y419" s="8"/>
      <c r="Z419" s="8"/>
      <c r="AA419" s="8"/>
      <c r="AB419" s="8"/>
      <c r="AC419" s="8"/>
    </row>
    <row r="420" spans="1:29" s="69" customFormat="1" ht="38.25" x14ac:dyDescent="0.2">
      <c r="A420" s="66" t="s">
        <v>8</v>
      </c>
      <c r="B420" s="33" t="s">
        <v>379</v>
      </c>
      <c r="C420" s="23" t="s">
        <v>36</v>
      </c>
      <c r="D420" s="23" t="s">
        <v>295</v>
      </c>
      <c r="E420" s="24" t="s">
        <v>508</v>
      </c>
      <c r="F420" s="36"/>
      <c r="G420" s="37" t="s">
        <v>128</v>
      </c>
      <c r="H420" s="38">
        <f>SUM(H421:H422)/1.15</f>
        <v>1.5300000000000002</v>
      </c>
      <c r="I420" s="25"/>
      <c r="J420" s="34"/>
      <c r="K420" s="32"/>
      <c r="L420" s="26"/>
      <c r="M420" s="67"/>
      <c r="N420" s="28"/>
      <c r="O420" s="67"/>
      <c r="P420" s="26"/>
      <c r="Q420" s="67"/>
      <c r="R420" s="28"/>
      <c r="S420" s="27"/>
      <c r="T420" s="28"/>
      <c r="U420" s="27"/>
      <c r="V420" s="28"/>
      <c r="W420" s="68"/>
      <c r="X420" s="88"/>
      <c r="Y420" s="88"/>
      <c r="Z420" s="88"/>
      <c r="AA420" s="88"/>
      <c r="AB420" s="88"/>
      <c r="AC420" s="88"/>
    </row>
    <row r="421" spans="1:29" ht="28.5" hidden="1" customHeight="1" x14ac:dyDescent="0.2">
      <c r="A421" s="13" t="s">
        <v>9</v>
      </c>
      <c r="B421" s="111"/>
      <c r="C421" s="93" t="s">
        <v>36</v>
      </c>
      <c r="D421" s="40" t="s">
        <v>295</v>
      </c>
      <c r="E421" s="41" t="s">
        <v>325</v>
      </c>
      <c r="F421" s="40"/>
      <c r="G421" s="42" t="s">
        <v>107</v>
      </c>
      <c r="H421" s="43">
        <f>0.26*1.15*3</f>
        <v>0.89700000000000002</v>
      </c>
      <c r="I421" s="44"/>
      <c r="J421" s="45"/>
      <c r="K421" s="46"/>
      <c r="L421" s="17"/>
      <c r="M421" s="47"/>
      <c r="N421" s="18"/>
      <c r="O421" s="47"/>
      <c r="P421" s="17"/>
      <c r="Q421" s="47"/>
      <c r="R421" s="18"/>
      <c r="S421" s="48"/>
      <c r="T421" s="49"/>
      <c r="U421" s="48"/>
      <c r="V421" s="49"/>
      <c r="W421" s="29"/>
      <c r="X421" s="89" t="s">
        <v>170</v>
      </c>
      <c r="Y421" s="8"/>
      <c r="Z421" s="8"/>
      <c r="AA421" s="8"/>
      <c r="AB421" s="8"/>
      <c r="AC421" s="8"/>
    </row>
    <row r="422" spans="1:29" ht="28.5" hidden="1" customHeight="1" x14ac:dyDescent="0.2">
      <c r="A422" s="13" t="s">
        <v>9</v>
      </c>
      <c r="B422" s="111"/>
      <c r="C422" s="93" t="s">
        <v>36</v>
      </c>
      <c r="D422" s="40" t="s">
        <v>295</v>
      </c>
      <c r="E422" s="41" t="s">
        <v>326</v>
      </c>
      <c r="F422" s="40"/>
      <c r="G422" s="42" t="s">
        <v>107</v>
      </c>
      <c r="H422" s="43">
        <f>0.25*1.15*3</f>
        <v>0.86249999999999993</v>
      </c>
      <c r="I422" s="44"/>
      <c r="J422" s="45"/>
      <c r="K422" s="46"/>
      <c r="L422" s="17"/>
      <c r="M422" s="47"/>
      <c r="N422" s="18"/>
      <c r="O422" s="47"/>
      <c r="P422" s="17"/>
      <c r="Q422" s="47"/>
      <c r="R422" s="18"/>
      <c r="S422" s="48"/>
      <c r="T422" s="49"/>
      <c r="U422" s="48"/>
      <c r="V422" s="49"/>
      <c r="W422" s="29"/>
      <c r="X422" s="89" t="s">
        <v>170</v>
      </c>
      <c r="Y422" s="8"/>
      <c r="Z422" s="8"/>
      <c r="AA422" s="8"/>
      <c r="AB422" s="8"/>
      <c r="AC422" s="8"/>
    </row>
    <row r="423" spans="1:29" s="69" customFormat="1" ht="28.5" customHeight="1" x14ac:dyDescent="0.2">
      <c r="A423" s="66" t="s">
        <v>8</v>
      </c>
      <c r="B423" s="33" t="s">
        <v>380</v>
      </c>
      <c r="C423" s="23" t="s">
        <v>36</v>
      </c>
      <c r="D423" s="23" t="s">
        <v>295</v>
      </c>
      <c r="E423" s="24" t="s">
        <v>370</v>
      </c>
      <c r="F423" s="36"/>
      <c r="G423" s="37" t="s">
        <v>119</v>
      </c>
      <c r="H423" s="38">
        <f>H424/1.15</f>
        <v>50.550000000000011</v>
      </c>
      <c r="I423" s="25"/>
      <c r="J423" s="34"/>
      <c r="K423" s="32"/>
      <c r="L423" s="26"/>
      <c r="M423" s="67"/>
      <c r="N423" s="28"/>
      <c r="O423" s="67"/>
      <c r="P423" s="26"/>
      <c r="Q423" s="67"/>
      <c r="R423" s="28"/>
      <c r="S423" s="27"/>
      <c r="T423" s="28"/>
      <c r="U423" s="27"/>
      <c r="V423" s="28"/>
      <c r="W423" s="68"/>
      <c r="X423" s="114" t="s">
        <v>512</v>
      </c>
      <c r="Y423" s="114"/>
      <c r="Z423" s="114"/>
      <c r="AA423" s="88"/>
      <c r="AB423" s="88"/>
      <c r="AC423" s="88"/>
    </row>
    <row r="424" spans="1:29" ht="28.5" hidden="1" customHeight="1" x14ac:dyDescent="0.2">
      <c r="A424" s="13" t="s">
        <v>9</v>
      </c>
      <c r="B424" s="111"/>
      <c r="C424" s="93" t="s">
        <v>36</v>
      </c>
      <c r="D424" s="40" t="s">
        <v>295</v>
      </c>
      <c r="E424" s="41" t="s">
        <v>327</v>
      </c>
      <c r="F424" s="40"/>
      <c r="G424" s="42" t="s">
        <v>113</v>
      </c>
      <c r="H424" s="43">
        <f>16.85*1.15*3</f>
        <v>58.132500000000007</v>
      </c>
      <c r="I424" s="44"/>
      <c r="J424" s="45"/>
      <c r="K424" s="46"/>
      <c r="L424" s="17"/>
      <c r="M424" s="47"/>
      <c r="N424" s="18"/>
      <c r="O424" s="47"/>
      <c r="P424" s="17"/>
      <c r="Q424" s="47"/>
      <c r="R424" s="18"/>
      <c r="S424" s="48"/>
      <c r="T424" s="49"/>
      <c r="U424" s="48"/>
      <c r="V424" s="49"/>
      <c r="W424" s="29"/>
      <c r="X424" s="89" t="s">
        <v>328</v>
      </c>
      <c r="Y424" s="8"/>
      <c r="Z424" s="8"/>
      <c r="AA424" s="8"/>
      <c r="AB424" s="8"/>
      <c r="AC424" s="8"/>
    </row>
    <row r="425" spans="1:29" s="69" customFormat="1" ht="28.5" customHeight="1" x14ac:dyDescent="0.2">
      <c r="A425" s="66" t="s">
        <v>8</v>
      </c>
      <c r="B425" s="33" t="s">
        <v>381</v>
      </c>
      <c r="C425" s="23" t="s">
        <v>36</v>
      </c>
      <c r="D425" s="23" t="s">
        <v>295</v>
      </c>
      <c r="E425" s="24" t="s">
        <v>371</v>
      </c>
      <c r="F425" s="36"/>
      <c r="G425" s="37" t="s">
        <v>193</v>
      </c>
      <c r="H425" s="38">
        <f>H426/1.15</f>
        <v>11.7</v>
      </c>
      <c r="I425" s="25"/>
      <c r="J425" s="34"/>
      <c r="K425" s="32"/>
      <c r="L425" s="26"/>
      <c r="M425" s="67"/>
      <c r="N425" s="28"/>
      <c r="O425" s="67"/>
      <c r="P425" s="26"/>
      <c r="Q425" s="67"/>
      <c r="R425" s="28"/>
      <c r="S425" s="27"/>
      <c r="T425" s="28"/>
      <c r="U425" s="27"/>
      <c r="V425" s="28"/>
      <c r="W425" s="68"/>
      <c r="X425" s="114" t="s">
        <v>510</v>
      </c>
      <c r="Y425" s="114"/>
      <c r="Z425" s="114"/>
      <c r="AA425" s="114"/>
      <c r="AB425" s="114"/>
      <c r="AC425" s="114"/>
    </row>
    <row r="426" spans="1:29" ht="28.5" hidden="1" customHeight="1" x14ac:dyDescent="0.2">
      <c r="A426" s="13" t="s">
        <v>9</v>
      </c>
      <c r="B426" s="111"/>
      <c r="C426" s="93" t="s">
        <v>36</v>
      </c>
      <c r="D426" s="40" t="s">
        <v>295</v>
      </c>
      <c r="E426" s="41" t="s">
        <v>329</v>
      </c>
      <c r="F426" s="40"/>
      <c r="G426" s="42" t="s">
        <v>193</v>
      </c>
      <c r="H426" s="43">
        <f>3.9*1.15*3</f>
        <v>13.454999999999998</v>
      </c>
      <c r="I426" s="44"/>
      <c r="J426" s="45"/>
      <c r="K426" s="46"/>
      <c r="L426" s="17"/>
      <c r="M426" s="47"/>
      <c r="N426" s="18"/>
      <c r="O426" s="47"/>
      <c r="P426" s="17"/>
      <c r="Q426" s="47"/>
      <c r="R426" s="18"/>
      <c r="S426" s="48"/>
      <c r="T426" s="49"/>
      <c r="U426" s="48"/>
      <c r="V426" s="49"/>
      <c r="W426" s="29"/>
      <c r="X426" s="89" t="s">
        <v>330</v>
      </c>
      <c r="Y426" s="8"/>
      <c r="Z426" s="8"/>
      <c r="AA426" s="8"/>
      <c r="AB426" s="8"/>
      <c r="AC426" s="8"/>
    </row>
    <row r="427" spans="1:29" ht="28.5" hidden="1" customHeight="1" x14ac:dyDescent="0.2">
      <c r="A427" s="13" t="s">
        <v>9</v>
      </c>
      <c r="B427" s="111"/>
      <c r="C427" s="93" t="s">
        <v>36</v>
      </c>
      <c r="D427" s="40" t="s">
        <v>295</v>
      </c>
      <c r="E427" s="41" t="s">
        <v>191</v>
      </c>
      <c r="F427" s="40"/>
      <c r="G427" s="42" t="s">
        <v>69</v>
      </c>
      <c r="H427" s="112">
        <f>H425/0.2*3</f>
        <v>175.49999999999997</v>
      </c>
      <c r="I427" s="44"/>
      <c r="J427" s="45"/>
      <c r="K427" s="46"/>
      <c r="L427" s="17"/>
      <c r="M427" s="47"/>
      <c r="N427" s="18"/>
      <c r="O427" s="47"/>
      <c r="P427" s="17"/>
      <c r="Q427" s="47"/>
      <c r="R427" s="18"/>
      <c r="S427" s="48"/>
      <c r="T427" s="49"/>
      <c r="U427" s="48"/>
      <c r="V427" s="49"/>
      <c r="W427" s="29"/>
      <c r="X427" s="89" t="s">
        <v>333</v>
      </c>
      <c r="Y427" s="8"/>
      <c r="Z427" s="8"/>
      <c r="AA427" s="8"/>
      <c r="AB427" s="8"/>
      <c r="AC427" s="8"/>
    </row>
    <row r="428" spans="1:29" s="69" customFormat="1" ht="28.5" customHeight="1" x14ac:dyDescent="0.2">
      <c r="A428" s="66" t="s">
        <v>8</v>
      </c>
      <c r="B428" s="33" t="s">
        <v>382</v>
      </c>
      <c r="C428" s="23" t="s">
        <v>36</v>
      </c>
      <c r="D428" s="23" t="s">
        <v>295</v>
      </c>
      <c r="E428" s="24" t="s">
        <v>368</v>
      </c>
      <c r="F428" s="36"/>
      <c r="G428" s="37" t="s">
        <v>128</v>
      </c>
      <c r="H428" s="38">
        <f>H429/1.15</f>
        <v>5.133</v>
      </c>
      <c r="I428" s="25"/>
      <c r="J428" s="34"/>
      <c r="K428" s="32"/>
      <c r="L428" s="26"/>
      <c r="M428" s="67"/>
      <c r="N428" s="28"/>
      <c r="O428" s="67"/>
      <c r="P428" s="26"/>
      <c r="Q428" s="67"/>
      <c r="R428" s="28"/>
      <c r="S428" s="27"/>
      <c r="T428" s="28"/>
      <c r="U428" s="27"/>
      <c r="V428" s="28"/>
      <c r="W428" s="68"/>
      <c r="X428" s="88"/>
      <c r="Y428" s="88"/>
      <c r="Z428" s="88"/>
      <c r="AA428" s="88"/>
      <c r="AB428" s="88"/>
      <c r="AC428" s="88"/>
    </row>
    <row r="429" spans="1:29" ht="28.5" hidden="1" customHeight="1" x14ac:dyDescent="0.2">
      <c r="A429" s="13" t="s">
        <v>9</v>
      </c>
      <c r="B429" s="111"/>
      <c r="C429" s="93" t="s">
        <v>36</v>
      </c>
      <c r="D429" s="40" t="s">
        <v>295</v>
      </c>
      <c r="E429" s="41" t="s">
        <v>331</v>
      </c>
      <c r="F429" s="40"/>
      <c r="G429" s="42" t="s">
        <v>107</v>
      </c>
      <c r="H429" s="43">
        <f>17.11*0.1*1.15*3</f>
        <v>5.9029499999999997</v>
      </c>
      <c r="I429" s="44"/>
      <c r="J429" s="45"/>
      <c r="K429" s="46"/>
      <c r="L429" s="17"/>
      <c r="M429" s="47"/>
      <c r="N429" s="18"/>
      <c r="O429" s="47"/>
      <c r="P429" s="17"/>
      <c r="Q429" s="47"/>
      <c r="R429" s="18"/>
      <c r="S429" s="48"/>
      <c r="T429" s="49"/>
      <c r="U429" s="48"/>
      <c r="V429" s="49"/>
      <c r="W429" s="29"/>
      <c r="X429" s="89" t="s">
        <v>330</v>
      </c>
      <c r="Y429" s="8"/>
      <c r="Z429" s="8"/>
      <c r="AA429" s="8"/>
      <c r="AB429" s="8"/>
      <c r="AC429" s="8"/>
    </row>
    <row r="430" spans="1:29" s="69" customFormat="1" ht="28.5" customHeight="1" x14ac:dyDescent="0.2">
      <c r="A430" s="66" t="s">
        <v>8</v>
      </c>
      <c r="B430" s="33" t="s">
        <v>383</v>
      </c>
      <c r="C430" s="23" t="s">
        <v>36</v>
      </c>
      <c r="D430" s="23" t="s">
        <v>295</v>
      </c>
      <c r="E430" s="24" t="s">
        <v>369</v>
      </c>
      <c r="F430" s="36"/>
      <c r="G430" s="37" t="s">
        <v>119</v>
      </c>
      <c r="H430" s="38">
        <f>H431/1.15</f>
        <v>51.33</v>
      </c>
      <c r="I430" s="25"/>
      <c r="J430" s="34"/>
      <c r="K430" s="32"/>
      <c r="L430" s="26"/>
      <c r="M430" s="67"/>
      <c r="N430" s="28"/>
      <c r="O430" s="67"/>
      <c r="P430" s="26"/>
      <c r="Q430" s="67"/>
      <c r="R430" s="28"/>
      <c r="S430" s="27"/>
      <c r="T430" s="28"/>
      <c r="U430" s="27"/>
      <c r="V430" s="28"/>
      <c r="W430" s="68"/>
      <c r="X430" s="88"/>
      <c r="Y430" s="88"/>
      <c r="Z430" s="88"/>
      <c r="AA430" s="88"/>
      <c r="AB430" s="88"/>
      <c r="AC430" s="88"/>
    </row>
    <row r="431" spans="1:29" ht="28.5" hidden="1" customHeight="1" x14ac:dyDescent="0.2">
      <c r="A431" s="13" t="s">
        <v>9</v>
      </c>
      <c r="B431" s="111"/>
      <c r="C431" s="93" t="s">
        <v>36</v>
      </c>
      <c r="D431" s="40" t="s">
        <v>295</v>
      </c>
      <c r="E431" s="41" t="s">
        <v>332</v>
      </c>
      <c r="F431" s="40"/>
      <c r="G431" s="42" t="s">
        <v>113</v>
      </c>
      <c r="H431" s="43">
        <f>17.11*1.15*3</f>
        <v>59.029499999999992</v>
      </c>
      <c r="I431" s="44"/>
      <c r="J431" s="45"/>
      <c r="K431" s="46"/>
      <c r="L431" s="17"/>
      <c r="M431" s="47"/>
      <c r="N431" s="18"/>
      <c r="O431" s="47"/>
      <c r="P431" s="17"/>
      <c r="Q431" s="47"/>
      <c r="R431" s="18"/>
      <c r="S431" s="48"/>
      <c r="T431" s="49"/>
      <c r="U431" s="48"/>
      <c r="V431" s="49"/>
      <c r="W431" s="29"/>
      <c r="X431" s="89" t="s">
        <v>328</v>
      </c>
      <c r="Y431" s="8"/>
      <c r="Z431" s="8"/>
      <c r="AA431" s="8"/>
      <c r="AB431" s="8"/>
      <c r="AC431" s="8"/>
    </row>
    <row r="432" spans="1:29" s="85" customFormat="1" ht="28.5" customHeight="1" x14ac:dyDescent="0.2">
      <c r="A432" s="70" t="s">
        <v>14</v>
      </c>
      <c r="B432" s="71">
        <v>20</v>
      </c>
      <c r="C432" s="72" t="s">
        <v>36</v>
      </c>
      <c r="D432" s="75" t="s">
        <v>295</v>
      </c>
      <c r="E432" s="74" t="s">
        <v>310</v>
      </c>
      <c r="F432" s="75"/>
      <c r="G432" s="73" t="s">
        <v>69</v>
      </c>
      <c r="H432" s="76">
        <v>3</v>
      </c>
      <c r="I432" s="77"/>
      <c r="J432" s="76"/>
      <c r="K432" s="78"/>
      <c r="L432" s="79"/>
      <c r="M432" s="80"/>
      <c r="N432" s="81"/>
      <c r="O432" s="82"/>
      <c r="P432" s="79"/>
      <c r="Q432" s="80"/>
      <c r="R432" s="81"/>
      <c r="S432" s="80"/>
      <c r="T432" s="83"/>
      <c r="U432" s="84"/>
      <c r="V432" s="83"/>
    </row>
    <row r="433" spans="1:29" s="69" customFormat="1" ht="28.5" customHeight="1" x14ac:dyDescent="0.2">
      <c r="A433" s="66" t="s">
        <v>8</v>
      </c>
      <c r="B433" s="33" t="s">
        <v>384</v>
      </c>
      <c r="C433" s="23" t="s">
        <v>36</v>
      </c>
      <c r="D433" s="23" t="s">
        <v>295</v>
      </c>
      <c r="E433" s="24" t="s">
        <v>367</v>
      </c>
      <c r="F433" s="36"/>
      <c r="G433" s="37" t="s">
        <v>110</v>
      </c>
      <c r="H433" s="38">
        <f>SUM(H434:H438)/1.03</f>
        <v>7.4514899999999995E-2</v>
      </c>
      <c r="I433" s="25"/>
      <c r="J433" s="34"/>
      <c r="K433" s="32"/>
      <c r="L433" s="26"/>
      <c r="M433" s="67"/>
      <c r="N433" s="28"/>
      <c r="O433" s="67"/>
      <c r="P433" s="26"/>
      <c r="Q433" s="67"/>
      <c r="R433" s="28"/>
      <c r="S433" s="27"/>
      <c r="T433" s="28"/>
      <c r="U433" s="27"/>
      <c r="V433" s="28"/>
      <c r="W433" s="68"/>
      <c r="X433" s="88"/>
      <c r="Y433" s="88"/>
      <c r="Z433" s="88"/>
      <c r="AA433" s="88"/>
      <c r="AB433" s="88"/>
      <c r="AC433" s="88"/>
    </row>
    <row r="434" spans="1:29" ht="28.5" hidden="1" customHeight="1" x14ac:dyDescent="0.2">
      <c r="A434" s="13" t="s">
        <v>9</v>
      </c>
      <c r="B434" s="111"/>
      <c r="C434" s="93" t="s">
        <v>36</v>
      </c>
      <c r="D434" s="40" t="s">
        <v>295</v>
      </c>
      <c r="E434" s="41" t="s">
        <v>335</v>
      </c>
      <c r="F434" s="40"/>
      <c r="G434" s="42" t="s">
        <v>110</v>
      </c>
      <c r="H434" s="113">
        <f>((0.94*0.38)*2)*3/1000*1.03</f>
        <v>2.2074959999999998E-3</v>
      </c>
      <c r="I434" s="44"/>
      <c r="J434" s="45"/>
      <c r="K434" s="46"/>
      <c r="L434" s="17"/>
      <c r="M434" s="47"/>
      <c r="N434" s="18"/>
      <c r="O434" s="47"/>
      <c r="P434" s="17"/>
      <c r="Q434" s="47"/>
      <c r="R434" s="18"/>
      <c r="S434" s="48"/>
      <c r="T434" s="49"/>
      <c r="U434" s="48"/>
      <c r="V434" s="49"/>
      <c r="W434" s="29"/>
      <c r="X434" s="89" t="s">
        <v>127</v>
      </c>
      <c r="Y434" s="8"/>
      <c r="Z434" s="8"/>
      <c r="AA434" s="8"/>
      <c r="AB434" s="8"/>
      <c r="AC434" s="8"/>
    </row>
    <row r="435" spans="1:29" ht="28.5" hidden="1" customHeight="1" x14ac:dyDescent="0.2">
      <c r="A435" s="13" t="s">
        <v>9</v>
      </c>
      <c r="B435" s="111"/>
      <c r="C435" s="93" t="s">
        <v>36</v>
      </c>
      <c r="D435" s="40" t="s">
        <v>295</v>
      </c>
      <c r="E435" s="41" t="s">
        <v>336</v>
      </c>
      <c r="F435" s="40"/>
      <c r="G435" s="42" t="s">
        <v>110</v>
      </c>
      <c r="H435" s="43">
        <f>(0.94*3.8)*3/1000*1.03</f>
        <v>1.1037480000000001E-2</v>
      </c>
      <c r="I435" s="44"/>
      <c r="J435" s="45"/>
      <c r="K435" s="46"/>
      <c r="L435" s="17"/>
      <c r="M435" s="47"/>
      <c r="N435" s="18"/>
      <c r="O435" s="47"/>
      <c r="P435" s="17"/>
      <c r="Q435" s="47"/>
      <c r="R435" s="18"/>
      <c r="S435" s="48"/>
      <c r="T435" s="49"/>
      <c r="U435" s="48"/>
      <c r="V435" s="49"/>
      <c r="W435" s="29"/>
      <c r="X435" s="89" t="s">
        <v>127</v>
      </c>
      <c r="Y435" s="8"/>
      <c r="Z435" s="8"/>
      <c r="AA435" s="8"/>
      <c r="AB435" s="8"/>
      <c r="AC435" s="8"/>
    </row>
    <row r="436" spans="1:29" ht="28.5" hidden="1" customHeight="1" x14ac:dyDescent="0.2">
      <c r="A436" s="13" t="s">
        <v>9</v>
      </c>
      <c r="B436" s="111"/>
      <c r="C436" s="93" t="s">
        <v>36</v>
      </c>
      <c r="D436" s="40" t="s">
        <v>295</v>
      </c>
      <c r="E436" s="41" t="s">
        <v>337</v>
      </c>
      <c r="F436" s="40"/>
      <c r="G436" s="42" t="s">
        <v>110</v>
      </c>
      <c r="H436" s="43">
        <f>(0.94*3.96)*3/1000*1.03</f>
        <v>1.1502215999999999E-2</v>
      </c>
      <c r="I436" s="44"/>
      <c r="J436" s="45"/>
      <c r="K436" s="46"/>
      <c r="L436" s="17"/>
      <c r="M436" s="47"/>
      <c r="N436" s="18"/>
      <c r="O436" s="47"/>
      <c r="P436" s="17"/>
      <c r="Q436" s="47"/>
      <c r="R436" s="18"/>
      <c r="S436" s="48"/>
      <c r="T436" s="49"/>
      <c r="U436" s="48"/>
      <c r="V436" s="49"/>
      <c r="W436" s="29"/>
      <c r="X436" s="89" t="s">
        <v>127</v>
      </c>
      <c r="Y436" s="8"/>
      <c r="Z436" s="8"/>
      <c r="AA436" s="8"/>
      <c r="AB436" s="8"/>
      <c r="AC436" s="8"/>
    </row>
    <row r="437" spans="1:29" ht="28.5" hidden="1" customHeight="1" x14ac:dyDescent="0.2">
      <c r="A437" s="13" t="s">
        <v>9</v>
      </c>
      <c r="B437" s="111"/>
      <c r="C437" s="93" t="s">
        <v>36</v>
      </c>
      <c r="D437" s="40" t="s">
        <v>295</v>
      </c>
      <c r="E437" s="41" t="s">
        <v>338</v>
      </c>
      <c r="F437" s="40"/>
      <c r="G437" s="42" t="s">
        <v>110</v>
      </c>
      <c r="H437" s="43">
        <f>(2.2*3.96)*3/1000*1.03</f>
        <v>2.6920079999999999E-2</v>
      </c>
      <c r="I437" s="44"/>
      <c r="J437" s="45"/>
      <c r="K437" s="46"/>
      <c r="L437" s="17"/>
      <c r="M437" s="47"/>
      <c r="N437" s="18"/>
      <c r="O437" s="47"/>
      <c r="P437" s="17"/>
      <c r="Q437" s="47"/>
      <c r="R437" s="18"/>
      <c r="S437" s="48"/>
      <c r="T437" s="49"/>
      <c r="U437" s="48"/>
      <c r="V437" s="49"/>
      <c r="W437" s="29"/>
      <c r="X437" s="89" t="s">
        <v>127</v>
      </c>
      <c r="Y437" s="8"/>
      <c r="Z437" s="8"/>
      <c r="AA437" s="8"/>
      <c r="AB437" s="8"/>
      <c r="AC437" s="8"/>
    </row>
    <row r="438" spans="1:29" ht="28.5" hidden="1" customHeight="1" x14ac:dyDescent="0.2">
      <c r="A438" s="13" t="s">
        <v>9</v>
      </c>
      <c r="B438" s="111"/>
      <c r="C438" s="93" t="s">
        <v>36</v>
      </c>
      <c r="D438" s="40" t="s">
        <v>295</v>
      </c>
      <c r="E438" s="41" t="s">
        <v>345</v>
      </c>
      <c r="F438" s="40"/>
      <c r="G438" s="42" t="s">
        <v>110</v>
      </c>
      <c r="H438" s="43">
        <f>(1.91*4.25)*3/1000*1.03</f>
        <v>2.5083075E-2</v>
      </c>
      <c r="I438" s="44"/>
      <c r="J438" s="45"/>
      <c r="K438" s="46"/>
      <c r="L438" s="17"/>
      <c r="M438" s="47"/>
      <c r="N438" s="18"/>
      <c r="O438" s="47"/>
      <c r="P438" s="17"/>
      <c r="Q438" s="47"/>
      <c r="R438" s="18"/>
      <c r="S438" s="48"/>
      <c r="T438" s="49"/>
      <c r="U438" s="48"/>
      <c r="V438" s="49"/>
      <c r="W438" s="29"/>
      <c r="X438" s="89" t="s">
        <v>127</v>
      </c>
      <c r="Y438" s="8"/>
      <c r="Z438" s="8"/>
      <c r="AA438" s="8"/>
      <c r="AB438" s="8"/>
      <c r="AC438" s="8"/>
    </row>
    <row r="439" spans="1:29" s="69" customFormat="1" ht="28.5" customHeight="1" x14ac:dyDescent="0.2">
      <c r="A439" s="66" t="s">
        <v>8</v>
      </c>
      <c r="B439" s="33" t="s">
        <v>385</v>
      </c>
      <c r="C439" s="23" t="s">
        <v>36</v>
      </c>
      <c r="D439" s="23" t="s">
        <v>295</v>
      </c>
      <c r="E439" s="24" t="s">
        <v>373</v>
      </c>
      <c r="F439" s="36"/>
      <c r="G439" s="37" t="s">
        <v>119</v>
      </c>
      <c r="H439" s="38">
        <f>H440/1.15</f>
        <v>3.4499999999999997</v>
      </c>
      <c r="I439" s="25"/>
      <c r="J439" s="34"/>
      <c r="K439" s="32"/>
      <c r="L439" s="26"/>
      <c r="M439" s="67"/>
      <c r="N439" s="28"/>
      <c r="O439" s="67"/>
      <c r="P439" s="26"/>
      <c r="Q439" s="67"/>
      <c r="R439" s="28"/>
      <c r="S439" s="27"/>
      <c r="T439" s="28"/>
      <c r="U439" s="27"/>
      <c r="V439" s="28"/>
      <c r="W439" s="68"/>
      <c r="X439" s="88"/>
      <c r="Y439" s="88"/>
      <c r="Z439" s="88"/>
      <c r="AA439" s="88"/>
      <c r="AB439" s="88"/>
      <c r="AC439" s="88"/>
    </row>
    <row r="440" spans="1:29" ht="28.5" hidden="1" customHeight="1" x14ac:dyDescent="0.2">
      <c r="A440" s="13" t="s">
        <v>9</v>
      </c>
      <c r="B440" s="111"/>
      <c r="C440" s="93" t="s">
        <v>36</v>
      </c>
      <c r="D440" s="40" t="s">
        <v>295</v>
      </c>
      <c r="E440" s="41" t="s">
        <v>339</v>
      </c>
      <c r="F440" s="40"/>
      <c r="G440" s="42" t="s">
        <v>113</v>
      </c>
      <c r="H440" s="43">
        <f>1.15*1.15*3</f>
        <v>3.9674999999999994</v>
      </c>
      <c r="I440" s="44"/>
      <c r="J440" s="45"/>
      <c r="K440" s="46"/>
      <c r="L440" s="17"/>
      <c r="M440" s="47"/>
      <c r="N440" s="18"/>
      <c r="O440" s="47"/>
      <c r="P440" s="17"/>
      <c r="Q440" s="47"/>
      <c r="R440" s="18"/>
      <c r="S440" s="48"/>
      <c r="T440" s="49"/>
      <c r="U440" s="48"/>
      <c r="V440" s="49"/>
      <c r="W440" s="29"/>
      <c r="X440" s="89" t="s">
        <v>328</v>
      </c>
      <c r="Y440" s="8"/>
      <c r="Z440" s="8"/>
      <c r="AA440" s="8"/>
      <c r="AB440" s="8"/>
      <c r="AC440" s="8"/>
    </row>
    <row r="441" spans="1:29" ht="28.5" hidden="1" customHeight="1" x14ac:dyDescent="0.2">
      <c r="A441" s="13" t="s">
        <v>9</v>
      </c>
      <c r="B441" s="111"/>
      <c r="C441" s="93" t="s">
        <v>36</v>
      </c>
      <c r="D441" s="40" t="s">
        <v>295</v>
      </c>
      <c r="E441" s="41" t="s">
        <v>374</v>
      </c>
      <c r="F441" s="40"/>
      <c r="G441" s="42" t="s">
        <v>69</v>
      </c>
      <c r="H441" s="43">
        <f>H439*8</f>
        <v>27.599999999999998</v>
      </c>
      <c r="I441" s="44"/>
      <c r="J441" s="45"/>
      <c r="K441" s="46"/>
      <c r="L441" s="17"/>
      <c r="M441" s="47"/>
      <c r="N441" s="18"/>
      <c r="O441" s="47"/>
      <c r="P441" s="17"/>
      <c r="Q441" s="47"/>
      <c r="R441" s="18"/>
      <c r="S441" s="48"/>
      <c r="T441" s="49"/>
      <c r="U441" s="48"/>
      <c r="V441" s="49"/>
      <c r="W441" s="29"/>
      <c r="X441" s="89" t="s">
        <v>375</v>
      </c>
      <c r="Y441" s="8"/>
      <c r="Z441" s="8"/>
      <c r="AA441" s="8"/>
      <c r="AB441" s="8"/>
      <c r="AC441" s="8"/>
    </row>
    <row r="442" spans="1:29" s="85" customFormat="1" ht="28.5" customHeight="1" x14ac:dyDescent="0.2">
      <c r="A442" s="70" t="s">
        <v>14</v>
      </c>
      <c r="B442" s="71">
        <v>21</v>
      </c>
      <c r="C442" s="72" t="s">
        <v>36</v>
      </c>
      <c r="D442" s="75" t="s">
        <v>295</v>
      </c>
      <c r="E442" s="74" t="s">
        <v>301</v>
      </c>
      <c r="F442" s="75"/>
      <c r="G442" s="73" t="s">
        <v>69</v>
      </c>
      <c r="H442" s="76">
        <v>13</v>
      </c>
      <c r="I442" s="77"/>
      <c r="J442" s="76"/>
      <c r="K442" s="78"/>
      <c r="L442" s="79"/>
      <c r="M442" s="80"/>
      <c r="N442" s="81"/>
      <c r="O442" s="82"/>
      <c r="P442" s="79"/>
      <c r="Q442" s="80"/>
      <c r="R442" s="81"/>
      <c r="S442" s="80"/>
      <c r="T442" s="83"/>
      <c r="U442" s="84"/>
      <c r="V442" s="83"/>
    </row>
    <row r="443" spans="1:29" s="69" customFormat="1" ht="28.5" customHeight="1" x14ac:dyDescent="0.2">
      <c r="A443" s="66" t="s">
        <v>8</v>
      </c>
      <c r="B443" s="33" t="s">
        <v>386</v>
      </c>
      <c r="C443" s="23" t="s">
        <v>36</v>
      </c>
      <c r="D443" s="23" t="s">
        <v>295</v>
      </c>
      <c r="E443" s="24" t="s">
        <v>366</v>
      </c>
      <c r="F443" s="36"/>
      <c r="G443" s="37" t="s">
        <v>110</v>
      </c>
      <c r="H443" s="38">
        <f>SUM(H444:H448)/1.03</f>
        <v>2.511157935</v>
      </c>
      <c r="I443" s="25"/>
      <c r="J443" s="34"/>
      <c r="K443" s="32"/>
      <c r="L443" s="26"/>
      <c r="M443" s="67"/>
      <c r="N443" s="28"/>
      <c r="O443" s="67"/>
      <c r="P443" s="26"/>
      <c r="Q443" s="67"/>
      <c r="R443" s="28"/>
      <c r="S443" s="27"/>
      <c r="T443" s="28"/>
      <c r="U443" s="27"/>
      <c r="V443" s="28"/>
      <c r="W443" s="68"/>
      <c r="X443" s="88"/>
      <c r="Y443" s="88"/>
      <c r="Z443" s="88"/>
      <c r="AA443" s="88"/>
      <c r="AB443" s="88"/>
      <c r="AC443" s="88"/>
    </row>
    <row r="444" spans="1:29" ht="28.5" hidden="1" customHeight="1" x14ac:dyDescent="0.2">
      <c r="A444" s="13" t="s">
        <v>9</v>
      </c>
      <c r="B444" s="111"/>
      <c r="C444" s="93" t="s">
        <v>36</v>
      </c>
      <c r="D444" s="40" t="s">
        <v>295</v>
      </c>
      <c r="E444" s="41" t="s">
        <v>320</v>
      </c>
      <c r="F444" s="40"/>
      <c r="G444" s="42" t="s">
        <v>110</v>
      </c>
      <c r="H444" s="43">
        <f>(2.6*10.79)*13/1000*1.03</f>
        <v>0.37564305999999997</v>
      </c>
      <c r="I444" s="44"/>
      <c r="J444" s="45"/>
      <c r="K444" s="46"/>
      <c r="L444" s="17"/>
      <c r="M444" s="47"/>
      <c r="N444" s="18"/>
      <c r="O444" s="47"/>
      <c r="P444" s="17"/>
      <c r="Q444" s="47"/>
      <c r="R444" s="18"/>
      <c r="S444" s="48"/>
      <c r="T444" s="49"/>
      <c r="U444" s="48"/>
      <c r="V444" s="49"/>
      <c r="W444" s="29"/>
      <c r="X444" s="89" t="s">
        <v>127</v>
      </c>
      <c r="Y444" s="8"/>
      <c r="Z444" s="8"/>
      <c r="AA444" s="8"/>
      <c r="AB444" s="8"/>
      <c r="AC444" s="8"/>
    </row>
    <row r="445" spans="1:29" ht="28.5" hidden="1" customHeight="1" x14ac:dyDescent="0.2">
      <c r="A445" s="13" t="s">
        <v>9</v>
      </c>
      <c r="B445" s="111"/>
      <c r="C445" s="93" t="s">
        <v>36</v>
      </c>
      <c r="D445" s="40" t="s">
        <v>295</v>
      </c>
      <c r="E445" s="41" t="s">
        <v>321</v>
      </c>
      <c r="F445" s="40"/>
      <c r="G445" s="42" t="s">
        <v>110</v>
      </c>
      <c r="H445" s="43">
        <f>(16.92*6.39)*13/1000*1.03</f>
        <v>1.447710732</v>
      </c>
      <c r="I445" s="44"/>
      <c r="J445" s="45"/>
      <c r="K445" s="46"/>
      <c r="L445" s="17"/>
      <c r="M445" s="47"/>
      <c r="N445" s="18"/>
      <c r="O445" s="47"/>
      <c r="P445" s="17"/>
      <c r="Q445" s="47"/>
      <c r="R445" s="18"/>
      <c r="S445" s="48"/>
      <c r="T445" s="49"/>
      <c r="U445" s="48"/>
      <c r="V445" s="49"/>
      <c r="W445" s="29"/>
      <c r="X445" s="89" t="s">
        <v>127</v>
      </c>
      <c r="Y445" s="8"/>
      <c r="Z445" s="8"/>
      <c r="AA445" s="8"/>
      <c r="AB445" s="8"/>
      <c r="AC445" s="8"/>
    </row>
    <row r="446" spans="1:29" ht="28.5" hidden="1" customHeight="1" x14ac:dyDescent="0.2">
      <c r="A446" s="13" t="s">
        <v>9</v>
      </c>
      <c r="B446" s="111"/>
      <c r="C446" s="93" t="s">
        <v>36</v>
      </c>
      <c r="D446" s="40" t="s">
        <v>295</v>
      </c>
      <c r="E446" s="41" t="s">
        <v>322</v>
      </c>
      <c r="F446" s="40"/>
      <c r="G446" s="42" t="s">
        <v>110</v>
      </c>
      <c r="H446" s="43">
        <f>((1.91*0.3)*4)*13/1000*1.03</f>
        <v>3.0689879999999999E-2</v>
      </c>
      <c r="I446" s="44"/>
      <c r="J446" s="45"/>
      <c r="K446" s="46"/>
      <c r="L446" s="17"/>
      <c r="M446" s="47"/>
      <c r="N446" s="18"/>
      <c r="O446" s="47"/>
      <c r="P446" s="17"/>
      <c r="Q446" s="47"/>
      <c r="R446" s="18"/>
      <c r="S446" s="48"/>
      <c r="T446" s="49"/>
      <c r="U446" s="48"/>
      <c r="V446" s="49"/>
      <c r="W446" s="29"/>
      <c r="X446" s="89" t="s">
        <v>127</v>
      </c>
      <c r="Y446" s="8"/>
      <c r="Z446" s="8"/>
      <c r="AA446" s="8"/>
      <c r="AB446" s="8"/>
      <c r="AC446" s="8"/>
    </row>
    <row r="447" spans="1:29" ht="28.5" hidden="1" customHeight="1" x14ac:dyDescent="0.2">
      <c r="A447" s="13" t="s">
        <v>9</v>
      </c>
      <c r="B447" s="111"/>
      <c r="C447" s="93" t="s">
        <v>36</v>
      </c>
      <c r="D447" s="40" t="s">
        <v>295</v>
      </c>
      <c r="E447" s="41" t="s">
        <v>323</v>
      </c>
      <c r="F447" s="40"/>
      <c r="G447" s="42" t="s">
        <v>110</v>
      </c>
      <c r="H447" s="43">
        <f>(2.35*10.04)*13/1000*1.03</f>
        <v>0.31592366</v>
      </c>
      <c r="I447" s="44"/>
      <c r="J447" s="45"/>
      <c r="K447" s="46"/>
      <c r="L447" s="17"/>
      <c r="M447" s="47"/>
      <c r="N447" s="18"/>
      <c r="O447" s="47"/>
      <c r="P447" s="17"/>
      <c r="Q447" s="47"/>
      <c r="R447" s="18"/>
      <c r="S447" s="48"/>
      <c r="T447" s="49"/>
      <c r="U447" s="48"/>
      <c r="V447" s="49"/>
      <c r="W447" s="29"/>
      <c r="X447" s="89" t="s">
        <v>127</v>
      </c>
      <c r="Y447" s="8"/>
      <c r="Z447" s="8"/>
      <c r="AA447" s="8"/>
      <c r="AB447" s="8"/>
      <c r="AC447" s="8"/>
    </row>
    <row r="448" spans="1:29" ht="28.5" hidden="1" customHeight="1" x14ac:dyDescent="0.2">
      <c r="A448" s="13" t="s">
        <v>9</v>
      </c>
      <c r="B448" s="111"/>
      <c r="C448" s="93" t="s">
        <v>36</v>
      </c>
      <c r="D448" s="40" t="s">
        <v>295</v>
      </c>
      <c r="E448" s="41" t="s">
        <v>334</v>
      </c>
      <c r="F448" s="40"/>
      <c r="G448" s="42" t="s">
        <v>110</v>
      </c>
      <c r="H448" s="43">
        <f>((1.11*1.19)*23.55)*13/1000*1.03</f>
        <v>0.41652534105</v>
      </c>
      <c r="I448" s="44"/>
      <c r="J448" s="45"/>
      <c r="K448" s="46"/>
      <c r="L448" s="17"/>
      <c r="M448" s="47"/>
      <c r="N448" s="18"/>
      <c r="O448" s="47"/>
      <c r="P448" s="17"/>
      <c r="Q448" s="47"/>
      <c r="R448" s="18"/>
      <c r="S448" s="48"/>
      <c r="T448" s="49"/>
      <c r="U448" s="48"/>
      <c r="V448" s="49"/>
      <c r="W448" s="29"/>
      <c r="X448" s="89" t="s">
        <v>127</v>
      </c>
      <c r="Y448" s="8"/>
      <c r="Z448" s="8"/>
      <c r="AA448" s="8"/>
      <c r="AB448" s="8"/>
      <c r="AC448" s="8"/>
    </row>
    <row r="449" spans="1:29" s="69" customFormat="1" ht="38.25" x14ac:dyDescent="0.2">
      <c r="A449" s="66" t="s">
        <v>8</v>
      </c>
      <c r="B449" s="33" t="s">
        <v>387</v>
      </c>
      <c r="C449" s="23" t="s">
        <v>36</v>
      </c>
      <c r="D449" s="23" t="s">
        <v>295</v>
      </c>
      <c r="E449" s="24" t="s">
        <v>508</v>
      </c>
      <c r="F449" s="36"/>
      <c r="G449" s="37" t="s">
        <v>128</v>
      </c>
      <c r="H449" s="38">
        <f>SUM(H450:H451)/1.15</f>
        <v>3.77</v>
      </c>
      <c r="I449" s="25"/>
      <c r="J449" s="34"/>
      <c r="K449" s="32"/>
      <c r="L449" s="26"/>
      <c r="M449" s="67"/>
      <c r="N449" s="28"/>
      <c r="O449" s="67"/>
      <c r="P449" s="26"/>
      <c r="Q449" s="67"/>
      <c r="R449" s="28"/>
      <c r="S449" s="27"/>
      <c r="T449" s="28"/>
      <c r="U449" s="27"/>
      <c r="V449" s="28"/>
      <c r="W449" s="68"/>
      <c r="X449" s="88"/>
      <c r="Y449" s="88"/>
      <c r="Z449" s="88"/>
      <c r="AA449" s="88"/>
      <c r="AB449" s="88"/>
      <c r="AC449" s="88"/>
    </row>
    <row r="450" spans="1:29" ht="28.5" hidden="1" customHeight="1" x14ac:dyDescent="0.2">
      <c r="A450" s="13" t="s">
        <v>9</v>
      </c>
      <c r="B450" s="111"/>
      <c r="C450" s="93" t="s">
        <v>36</v>
      </c>
      <c r="D450" s="40" t="s">
        <v>295</v>
      </c>
      <c r="E450" s="41" t="s">
        <v>325</v>
      </c>
      <c r="F450" s="40"/>
      <c r="G450" s="42" t="s">
        <v>107</v>
      </c>
      <c r="H450" s="43">
        <f>0.19*1.15*13</f>
        <v>2.8404999999999996</v>
      </c>
      <c r="I450" s="44"/>
      <c r="J450" s="45"/>
      <c r="K450" s="46"/>
      <c r="L450" s="17"/>
      <c r="M450" s="47"/>
      <c r="N450" s="18"/>
      <c r="O450" s="47"/>
      <c r="P450" s="17"/>
      <c r="Q450" s="47"/>
      <c r="R450" s="18"/>
      <c r="S450" s="48"/>
      <c r="T450" s="49"/>
      <c r="U450" s="48"/>
      <c r="V450" s="49"/>
      <c r="W450" s="29"/>
      <c r="X450" s="89" t="s">
        <v>170</v>
      </c>
      <c r="Y450" s="8"/>
      <c r="Z450" s="8"/>
      <c r="AA450" s="8"/>
      <c r="AB450" s="8"/>
      <c r="AC450" s="8"/>
    </row>
    <row r="451" spans="1:29" ht="28.5" hidden="1" customHeight="1" x14ac:dyDescent="0.2">
      <c r="A451" s="13" t="s">
        <v>9</v>
      </c>
      <c r="B451" s="111"/>
      <c r="C451" s="93" t="s">
        <v>36</v>
      </c>
      <c r="D451" s="40" t="s">
        <v>295</v>
      </c>
      <c r="E451" s="41" t="s">
        <v>326</v>
      </c>
      <c r="F451" s="40"/>
      <c r="G451" s="42" t="s">
        <v>107</v>
      </c>
      <c r="H451" s="43">
        <f>0.1*1.15*13</f>
        <v>1.4949999999999999</v>
      </c>
      <c r="I451" s="44"/>
      <c r="J451" s="45"/>
      <c r="K451" s="46"/>
      <c r="L451" s="17"/>
      <c r="M451" s="47"/>
      <c r="N451" s="18"/>
      <c r="O451" s="47"/>
      <c r="P451" s="17"/>
      <c r="Q451" s="47"/>
      <c r="R451" s="18"/>
      <c r="S451" s="48"/>
      <c r="T451" s="49"/>
      <c r="U451" s="48"/>
      <c r="V451" s="49"/>
      <c r="W451" s="29"/>
      <c r="X451" s="89" t="s">
        <v>170</v>
      </c>
      <c r="Y451" s="8"/>
      <c r="Z451" s="8"/>
      <c r="AA451" s="8"/>
      <c r="AB451" s="8"/>
      <c r="AC451" s="8"/>
    </row>
    <row r="452" spans="1:29" s="69" customFormat="1" ht="28.5" customHeight="1" x14ac:dyDescent="0.2">
      <c r="A452" s="66" t="s">
        <v>8</v>
      </c>
      <c r="B452" s="33" t="s">
        <v>388</v>
      </c>
      <c r="C452" s="23" t="s">
        <v>36</v>
      </c>
      <c r="D452" s="23" t="s">
        <v>295</v>
      </c>
      <c r="E452" s="24" t="s">
        <v>370</v>
      </c>
      <c r="F452" s="36"/>
      <c r="G452" s="37" t="s">
        <v>119</v>
      </c>
      <c r="H452" s="38">
        <f>H453/1.15</f>
        <v>170.42999999999998</v>
      </c>
      <c r="I452" s="25"/>
      <c r="J452" s="34"/>
      <c r="K452" s="32"/>
      <c r="L452" s="26"/>
      <c r="M452" s="67"/>
      <c r="N452" s="28"/>
      <c r="O452" s="67"/>
      <c r="P452" s="26"/>
      <c r="Q452" s="67"/>
      <c r="R452" s="28"/>
      <c r="S452" s="27"/>
      <c r="T452" s="28"/>
      <c r="U452" s="27"/>
      <c r="V452" s="28"/>
      <c r="W452" s="68"/>
      <c r="X452" s="114" t="s">
        <v>512</v>
      </c>
      <c r="Y452" s="114"/>
      <c r="Z452" s="114"/>
      <c r="AA452" s="88"/>
      <c r="AB452" s="88"/>
      <c r="AC452" s="88"/>
    </row>
    <row r="453" spans="1:29" ht="28.5" hidden="1" customHeight="1" x14ac:dyDescent="0.2">
      <c r="A453" s="13" t="s">
        <v>9</v>
      </c>
      <c r="B453" s="111"/>
      <c r="C453" s="93" t="s">
        <v>36</v>
      </c>
      <c r="D453" s="40" t="s">
        <v>295</v>
      </c>
      <c r="E453" s="41" t="s">
        <v>327</v>
      </c>
      <c r="F453" s="40"/>
      <c r="G453" s="42" t="s">
        <v>113</v>
      </c>
      <c r="H453" s="43">
        <f>13.11*1.15*13</f>
        <v>195.99449999999996</v>
      </c>
      <c r="I453" s="44"/>
      <c r="J453" s="45"/>
      <c r="K453" s="46"/>
      <c r="L453" s="17"/>
      <c r="M453" s="47"/>
      <c r="N453" s="18"/>
      <c r="O453" s="47"/>
      <c r="P453" s="17"/>
      <c r="Q453" s="47"/>
      <c r="R453" s="18"/>
      <c r="S453" s="48"/>
      <c r="T453" s="49"/>
      <c r="U453" s="48"/>
      <c r="V453" s="49"/>
      <c r="W453" s="29"/>
      <c r="X453" s="89" t="s">
        <v>328</v>
      </c>
      <c r="Y453" s="8"/>
      <c r="Z453" s="8"/>
      <c r="AA453" s="8"/>
      <c r="AB453" s="8"/>
      <c r="AC453" s="8"/>
    </row>
    <row r="454" spans="1:29" s="69" customFormat="1" ht="28.5" customHeight="1" x14ac:dyDescent="0.2">
      <c r="A454" s="66" t="s">
        <v>8</v>
      </c>
      <c r="B454" s="33" t="s">
        <v>389</v>
      </c>
      <c r="C454" s="23" t="s">
        <v>36</v>
      </c>
      <c r="D454" s="23" t="s">
        <v>295</v>
      </c>
      <c r="E454" s="24" t="s">
        <v>371</v>
      </c>
      <c r="F454" s="36"/>
      <c r="G454" s="37" t="s">
        <v>193</v>
      </c>
      <c r="H454" s="38">
        <f>H455/1.15</f>
        <v>45.5</v>
      </c>
      <c r="I454" s="25"/>
      <c r="J454" s="34"/>
      <c r="K454" s="32"/>
      <c r="L454" s="26"/>
      <c r="M454" s="67"/>
      <c r="N454" s="28"/>
      <c r="O454" s="67"/>
      <c r="P454" s="26"/>
      <c r="Q454" s="67"/>
      <c r="R454" s="28"/>
      <c r="S454" s="27"/>
      <c r="T454" s="28"/>
      <c r="U454" s="27"/>
      <c r="V454" s="28"/>
      <c r="W454" s="68"/>
      <c r="X454" s="114" t="s">
        <v>510</v>
      </c>
      <c r="Y454" s="114"/>
      <c r="Z454" s="114"/>
      <c r="AA454" s="114"/>
      <c r="AB454" s="114"/>
      <c r="AC454" s="114"/>
    </row>
    <row r="455" spans="1:29" ht="28.5" hidden="1" customHeight="1" x14ac:dyDescent="0.2">
      <c r="A455" s="13" t="s">
        <v>9</v>
      </c>
      <c r="B455" s="111"/>
      <c r="C455" s="93" t="s">
        <v>36</v>
      </c>
      <c r="D455" s="40" t="s">
        <v>295</v>
      </c>
      <c r="E455" s="41" t="s">
        <v>329</v>
      </c>
      <c r="F455" s="40"/>
      <c r="G455" s="42" t="s">
        <v>193</v>
      </c>
      <c r="H455" s="43">
        <f>3.5*1.15*13</f>
        <v>52.324999999999996</v>
      </c>
      <c r="I455" s="44"/>
      <c r="J455" s="45"/>
      <c r="K455" s="46"/>
      <c r="L455" s="17"/>
      <c r="M455" s="47"/>
      <c r="N455" s="18"/>
      <c r="O455" s="47"/>
      <c r="P455" s="17"/>
      <c r="Q455" s="47"/>
      <c r="R455" s="18"/>
      <c r="S455" s="48"/>
      <c r="T455" s="49"/>
      <c r="U455" s="48"/>
      <c r="V455" s="49"/>
      <c r="W455" s="29"/>
      <c r="X455" s="89" t="s">
        <v>330</v>
      </c>
      <c r="Y455" s="8"/>
      <c r="Z455" s="8"/>
      <c r="AA455" s="8"/>
      <c r="AB455" s="8"/>
      <c r="AC455" s="8"/>
    </row>
    <row r="456" spans="1:29" ht="28.5" hidden="1" customHeight="1" x14ac:dyDescent="0.2">
      <c r="A456" s="13" t="s">
        <v>9</v>
      </c>
      <c r="B456" s="111"/>
      <c r="C456" s="93" t="s">
        <v>36</v>
      </c>
      <c r="D456" s="40" t="s">
        <v>295</v>
      </c>
      <c r="E456" s="41" t="s">
        <v>191</v>
      </c>
      <c r="F456" s="40"/>
      <c r="G456" s="42" t="s">
        <v>69</v>
      </c>
      <c r="H456" s="112">
        <f>H454/0.2*13</f>
        <v>2957.5</v>
      </c>
      <c r="I456" s="44"/>
      <c r="J456" s="45"/>
      <c r="K456" s="46"/>
      <c r="L456" s="17"/>
      <c r="M456" s="47"/>
      <c r="N456" s="18"/>
      <c r="O456" s="47"/>
      <c r="P456" s="17"/>
      <c r="Q456" s="47"/>
      <c r="R456" s="18"/>
      <c r="S456" s="48"/>
      <c r="T456" s="49"/>
      <c r="U456" s="48"/>
      <c r="V456" s="49"/>
      <c r="W456" s="29"/>
      <c r="X456" s="89" t="s">
        <v>333</v>
      </c>
      <c r="Y456" s="8"/>
      <c r="Z456" s="8"/>
      <c r="AA456" s="8"/>
      <c r="AB456" s="8"/>
      <c r="AC456" s="8"/>
    </row>
    <row r="457" spans="1:29" s="69" customFormat="1" ht="28.5" customHeight="1" x14ac:dyDescent="0.2">
      <c r="A457" s="66" t="s">
        <v>8</v>
      </c>
      <c r="B457" s="33" t="s">
        <v>390</v>
      </c>
      <c r="C457" s="23" t="s">
        <v>36</v>
      </c>
      <c r="D457" s="23" t="s">
        <v>295</v>
      </c>
      <c r="E457" s="24" t="s">
        <v>368</v>
      </c>
      <c r="F457" s="36"/>
      <c r="G457" s="37" t="s">
        <v>128</v>
      </c>
      <c r="H457" s="38">
        <f>H458/1.15</f>
        <v>11.544000000000002</v>
      </c>
      <c r="I457" s="25"/>
      <c r="J457" s="34"/>
      <c r="K457" s="32"/>
      <c r="L457" s="26"/>
      <c r="M457" s="67"/>
      <c r="N457" s="28"/>
      <c r="O457" s="67"/>
      <c r="P457" s="26"/>
      <c r="Q457" s="67"/>
      <c r="R457" s="28"/>
      <c r="S457" s="27"/>
      <c r="T457" s="28"/>
      <c r="U457" s="27"/>
      <c r="V457" s="28"/>
      <c r="W457" s="68"/>
      <c r="X457" s="88"/>
      <c r="Y457" s="88"/>
      <c r="Z457" s="88"/>
      <c r="AA457" s="88"/>
      <c r="AB457" s="88"/>
      <c r="AC457" s="88"/>
    </row>
    <row r="458" spans="1:29" ht="28.5" hidden="1" customHeight="1" x14ac:dyDescent="0.2">
      <c r="A458" s="13" t="s">
        <v>9</v>
      </c>
      <c r="B458" s="111"/>
      <c r="C458" s="93" t="s">
        <v>36</v>
      </c>
      <c r="D458" s="40" t="s">
        <v>295</v>
      </c>
      <c r="E458" s="41" t="s">
        <v>331</v>
      </c>
      <c r="F458" s="40"/>
      <c r="G458" s="42" t="s">
        <v>107</v>
      </c>
      <c r="H458" s="43">
        <f>8.88*0.1*1.15*13</f>
        <v>13.275600000000001</v>
      </c>
      <c r="I458" s="44"/>
      <c r="J458" s="45"/>
      <c r="K458" s="46"/>
      <c r="L458" s="17"/>
      <c r="M458" s="47"/>
      <c r="N458" s="18"/>
      <c r="O458" s="47"/>
      <c r="P458" s="17"/>
      <c r="Q458" s="47"/>
      <c r="R458" s="18"/>
      <c r="S458" s="48"/>
      <c r="T458" s="49"/>
      <c r="U458" s="48"/>
      <c r="V458" s="49"/>
      <c r="W458" s="29"/>
      <c r="X458" s="89" t="s">
        <v>330</v>
      </c>
      <c r="Y458" s="8"/>
      <c r="Z458" s="8"/>
      <c r="AA458" s="8"/>
      <c r="AB458" s="8"/>
      <c r="AC458" s="8"/>
    </row>
    <row r="459" spans="1:29" s="69" customFormat="1" ht="28.5" customHeight="1" x14ac:dyDescent="0.2">
      <c r="A459" s="66" t="s">
        <v>8</v>
      </c>
      <c r="B459" s="33" t="s">
        <v>391</v>
      </c>
      <c r="C459" s="23" t="s">
        <v>36</v>
      </c>
      <c r="D459" s="23" t="s">
        <v>295</v>
      </c>
      <c r="E459" s="24" t="s">
        <v>369</v>
      </c>
      <c r="F459" s="36"/>
      <c r="G459" s="37" t="s">
        <v>119</v>
      </c>
      <c r="H459" s="38">
        <f>H460/1.15</f>
        <v>115.44000000000001</v>
      </c>
      <c r="I459" s="25"/>
      <c r="J459" s="34"/>
      <c r="K459" s="32"/>
      <c r="L459" s="26"/>
      <c r="M459" s="67"/>
      <c r="N459" s="28"/>
      <c r="O459" s="67"/>
      <c r="P459" s="26"/>
      <c r="Q459" s="67"/>
      <c r="R459" s="28"/>
      <c r="S459" s="27"/>
      <c r="T459" s="28"/>
      <c r="U459" s="27"/>
      <c r="V459" s="28"/>
      <c r="W459" s="68"/>
      <c r="X459" s="88"/>
      <c r="Y459" s="88"/>
      <c r="Z459" s="88"/>
      <c r="AA459" s="88"/>
      <c r="AB459" s="88"/>
      <c r="AC459" s="88"/>
    </row>
    <row r="460" spans="1:29" ht="28.5" hidden="1" customHeight="1" x14ac:dyDescent="0.2">
      <c r="A460" s="13" t="s">
        <v>9</v>
      </c>
      <c r="B460" s="111"/>
      <c r="C460" s="93" t="s">
        <v>36</v>
      </c>
      <c r="D460" s="40" t="s">
        <v>295</v>
      </c>
      <c r="E460" s="41" t="s">
        <v>332</v>
      </c>
      <c r="F460" s="40"/>
      <c r="G460" s="42" t="s">
        <v>113</v>
      </c>
      <c r="H460" s="43">
        <f>8.88*1.15*13</f>
        <v>132.756</v>
      </c>
      <c r="I460" s="44"/>
      <c r="J460" s="45"/>
      <c r="K460" s="46"/>
      <c r="L460" s="17"/>
      <c r="M460" s="47"/>
      <c r="N460" s="18"/>
      <c r="O460" s="47"/>
      <c r="P460" s="17"/>
      <c r="Q460" s="47"/>
      <c r="R460" s="18"/>
      <c r="S460" s="48"/>
      <c r="T460" s="49"/>
      <c r="U460" s="48"/>
      <c r="V460" s="49"/>
      <c r="W460" s="29"/>
      <c r="X460" s="89" t="s">
        <v>328</v>
      </c>
      <c r="Y460" s="8"/>
      <c r="Z460" s="8"/>
      <c r="AA460" s="8"/>
      <c r="AB460" s="8"/>
      <c r="AC460" s="8"/>
    </row>
    <row r="461" spans="1:29" s="85" customFormat="1" ht="28.5" customHeight="1" x14ac:dyDescent="0.2">
      <c r="A461" s="70" t="s">
        <v>14</v>
      </c>
      <c r="B461" s="71">
        <v>22</v>
      </c>
      <c r="C461" s="72" t="s">
        <v>36</v>
      </c>
      <c r="D461" s="75" t="s">
        <v>295</v>
      </c>
      <c r="E461" s="74" t="s">
        <v>311</v>
      </c>
      <c r="F461" s="75"/>
      <c r="G461" s="73" t="s">
        <v>69</v>
      </c>
      <c r="H461" s="76">
        <v>13</v>
      </c>
      <c r="I461" s="77"/>
      <c r="J461" s="76"/>
      <c r="K461" s="78"/>
      <c r="L461" s="79"/>
      <c r="M461" s="80"/>
      <c r="N461" s="81"/>
      <c r="O461" s="82"/>
      <c r="P461" s="79"/>
      <c r="Q461" s="80"/>
      <c r="R461" s="81"/>
      <c r="S461" s="80"/>
      <c r="T461" s="83"/>
      <c r="U461" s="84"/>
      <c r="V461" s="83"/>
    </row>
    <row r="462" spans="1:29" s="69" customFormat="1" ht="28.5" customHeight="1" x14ac:dyDescent="0.2">
      <c r="A462" s="66" t="s">
        <v>8</v>
      </c>
      <c r="B462" s="33" t="s">
        <v>392</v>
      </c>
      <c r="C462" s="23" t="s">
        <v>36</v>
      </c>
      <c r="D462" s="23" t="s">
        <v>295</v>
      </c>
      <c r="E462" s="24" t="s">
        <v>367</v>
      </c>
      <c r="F462" s="36"/>
      <c r="G462" s="37" t="s">
        <v>110</v>
      </c>
      <c r="H462" s="38">
        <f>SUM(H463:H467)/1.03</f>
        <v>0.26475670000000001</v>
      </c>
      <c r="I462" s="25"/>
      <c r="J462" s="34"/>
      <c r="K462" s="32"/>
      <c r="L462" s="26"/>
      <c r="M462" s="67"/>
      <c r="N462" s="28"/>
      <c r="O462" s="67"/>
      <c r="P462" s="26"/>
      <c r="Q462" s="67"/>
      <c r="R462" s="28"/>
      <c r="S462" s="27"/>
      <c r="T462" s="28"/>
      <c r="U462" s="27"/>
      <c r="V462" s="28"/>
      <c r="W462" s="68"/>
      <c r="X462" s="88"/>
      <c r="Y462" s="88"/>
      <c r="Z462" s="88"/>
      <c r="AA462" s="88"/>
      <c r="AB462" s="88"/>
      <c r="AC462" s="88"/>
    </row>
    <row r="463" spans="1:29" ht="28.5" hidden="1" customHeight="1" x14ac:dyDescent="0.2">
      <c r="A463" s="13" t="s">
        <v>9</v>
      </c>
      <c r="B463" s="111"/>
      <c r="C463" s="93" t="s">
        <v>36</v>
      </c>
      <c r="D463" s="40" t="s">
        <v>295</v>
      </c>
      <c r="E463" s="41" t="s">
        <v>335</v>
      </c>
      <c r="F463" s="40"/>
      <c r="G463" s="42" t="s">
        <v>110</v>
      </c>
      <c r="H463" s="43">
        <f>((0.94*0.38)*2)*13/1000*1.03</f>
        <v>9.5658159999999996E-3</v>
      </c>
      <c r="I463" s="44"/>
      <c r="J463" s="45"/>
      <c r="K463" s="46"/>
      <c r="L463" s="17"/>
      <c r="M463" s="47"/>
      <c r="N463" s="18"/>
      <c r="O463" s="47"/>
      <c r="P463" s="17"/>
      <c r="Q463" s="47"/>
      <c r="R463" s="18"/>
      <c r="S463" s="48"/>
      <c r="T463" s="49"/>
      <c r="U463" s="48"/>
      <c r="V463" s="49"/>
      <c r="W463" s="29"/>
      <c r="X463" s="89" t="s">
        <v>127</v>
      </c>
      <c r="Y463" s="8"/>
      <c r="Z463" s="8"/>
      <c r="AA463" s="8"/>
      <c r="AB463" s="8"/>
      <c r="AC463" s="8"/>
    </row>
    <row r="464" spans="1:29" ht="28.5" hidden="1" customHeight="1" x14ac:dyDescent="0.2">
      <c r="A464" s="13" t="s">
        <v>9</v>
      </c>
      <c r="B464" s="111"/>
      <c r="C464" s="93" t="s">
        <v>36</v>
      </c>
      <c r="D464" s="40" t="s">
        <v>295</v>
      </c>
      <c r="E464" s="41" t="s">
        <v>336</v>
      </c>
      <c r="F464" s="40"/>
      <c r="G464" s="42" t="s">
        <v>110</v>
      </c>
      <c r="H464" s="43">
        <f>(0.94*2.5)*13/1000*1.03</f>
        <v>3.1466500000000001E-2</v>
      </c>
      <c r="I464" s="44"/>
      <c r="J464" s="45"/>
      <c r="K464" s="46"/>
      <c r="L464" s="17"/>
      <c r="M464" s="47"/>
      <c r="N464" s="18"/>
      <c r="O464" s="47"/>
      <c r="P464" s="17"/>
      <c r="Q464" s="47"/>
      <c r="R464" s="18"/>
      <c r="S464" s="48"/>
      <c r="T464" s="49"/>
      <c r="U464" s="48"/>
      <c r="V464" s="49"/>
      <c r="W464" s="29"/>
      <c r="X464" s="89" t="s">
        <v>127</v>
      </c>
      <c r="Y464" s="8"/>
      <c r="Z464" s="8"/>
      <c r="AA464" s="8"/>
      <c r="AB464" s="8"/>
      <c r="AC464" s="8"/>
    </row>
    <row r="465" spans="1:29" ht="28.5" hidden="1" customHeight="1" x14ac:dyDescent="0.2">
      <c r="A465" s="13" t="s">
        <v>9</v>
      </c>
      <c r="B465" s="111"/>
      <c r="C465" s="93" t="s">
        <v>36</v>
      </c>
      <c r="D465" s="40" t="s">
        <v>295</v>
      </c>
      <c r="E465" s="41" t="s">
        <v>337</v>
      </c>
      <c r="F465" s="40"/>
      <c r="G465" s="42" t="s">
        <v>110</v>
      </c>
      <c r="H465" s="43">
        <f>(0.94*3.01)*13/1000*1.03</f>
        <v>3.7885665999999991E-2</v>
      </c>
      <c r="I465" s="44"/>
      <c r="J465" s="45"/>
      <c r="K465" s="46"/>
      <c r="L465" s="17"/>
      <c r="M465" s="47"/>
      <c r="N465" s="18"/>
      <c r="O465" s="47"/>
      <c r="P465" s="17"/>
      <c r="Q465" s="47"/>
      <c r="R465" s="18"/>
      <c r="S465" s="48"/>
      <c r="T465" s="49"/>
      <c r="U465" s="48"/>
      <c r="V465" s="49"/>
      <c r="W465" s="29"/>
      <c r="X465" s="89" t="s">
        <v>127</v>
      </c>
      <c r="Y465" s="8"/>
      <c r="Z465" s="8"/>
      <c r="AA465" s="8"/>
      <c r="AB465" s="8"/>
      <c r="AC465" s="8"/>
    </row>
    <row r="466" spans="1:29" ht="28.5" hidden="1" customHeight="1" x14ac:dyDescent="0.2">
      <c r="A466" s="13" t="s">
        <v>9</v>
      </c>
      <c r="B466" s="111"/>
      <c r="C466" s="93" t="s">
        <v>36</v>
      </c>
      <c r="D466" s="40" t="s">
        <v>295</v>
      </c>
      <c r="E466" s="41" t="s">
        <v>338</v>
      </c>
      <c r="F466" s="40"/>
      <c r="G466" s="42" t="s">
        <v>110</v>
      </c>
      <c r="H466" s="43">
        <f>(2.2*3.01)*13/1000*1.03</f>
        <v>8.8668579999999997E-2</v>
      </c>
      <c r="I466" s="44"/>
      <c r="J466" s="45"/>
      <c r="K466" s="46"/>
      <c r="L466" s="17"/>
      <c r="M466" s="47"/>
      <c r="N466" s="18"/>
      <c r="O466" s="47"/>
      <c r="P466" s="17"/>
      <c r="Q466" s="47"/>
      <c r="R466" s="18"/>
      <c r="S466" s="48"/>
      <c r="T466" s="49"/>
      <c r="U466" s="48"/>
      <c r="V466" s="49"/>
      <c r="W466" s="29"/>
      <c r="X466" s="89" t="s">
        <v>127</v>
      </c>
      <c r="Y466" s="8"/>
      <c r="Z466" s="8"/>
      <c r="AA466" s="8"/>
      <c r="AB466" s="8"/>
      <c r="AC466" s="8"/>
    </row>
    <row r="467" spans="1:29" ht="28.5" hidden="1" customHeight="1" x14ac:dyDescent="0.2">
      <c r="A467" s="13" t="s">
        <v>9</v>
      </c>
      <c r="B467" s="111"/>
      <c r="C467" s="93" t="s">
        <v>36</v>
      </c>
      <c r="D467" s="40" t="s">
        <v>295</v>
      </c>
      <c r="E467" s="41" t="s">
        <v>345</v>
      </c>
      <c r="F467" s="40"/>
      <c r="G467" s="42" t="s">
        <v>110</v>
      </c>
      <c r="H467" s="43">
        <f>(1.91*4.11)*13/1000*1.03</f>
        <v>0.105112839</v>
      </c>
      <c r="I467" s="44"/>
      <c r="J467" s="45"/>
      <c r="K467" s="46"/>
      <c r="L467" s="17"/>
      <c r="M467" s="47"/>
      <c r="N467" s="18"/>
      <c r="O467" s="47"/>
      <c r="P467" s="17"/>
      <c r="Q467" s="47"/>
      <c r="R467" s="18"/>
      <c r="S467" s="48"/>
      <c r="T467" s="49"/>
      <c r="U467" s="48"/>
      <c r="V467" s="49"/>
      <c r="W467" s="29"/>
      <c r="X467" s="89" t="s">
        <v>127</v>
      </c>
      <c r="Y467" s="8"/>
      <c r="Z467" s="8"/>
      <c r="AA467" s="8"/>
      <c r="AB467" s="8"/>
      <c r="AC467" s="8"/>
    </row>
    <row r="468" spans="1:29" s="69" customFormat="1" ht="28.5" customHeight="1" x14ac:dyDescent="0.2">
      <c r="A468" s="66" t="s">
        <v>8</v>
      </c>
      <c r="B468" s="33" t="s">
        <v>392</v>
      </c>
      <c r="C468" s="23" t="s">
        <v>36</v>
      </c>
      <c r="D468" s="23" t="s">
        <v>295</v>
      </c>
      <c r="E468" s="24" t="s">
        <v>373</v>
      </c>
      <c r="F468" s="36"/>
      <c r="G468" s="37" t="s">
        <v>119</v>
      </c>
      <c r="H468" s="38">
        <f>H469/1.15</f>
        <v>10.92</v>
      </c>
      <c r="I468" s="25"/>
      <c r="J468" s="34"/>
      <c r="K468" s="32"/>
      <c r="L468" s="26"/>
      <c r="M468" s="67"/>
      <c r="N468" s="28"/>
      <c r="O468" s="67"/>
      <c r="P468" s="26"/>
      <c r="Q468" s="67"/>
      <c r="R468" s="28"/>
      <c r="S468" s="27"/>
      <c r="T468" s="28"/>
      <c r="U468" s="27"/>
      <c r="V468" s="28"/>
      <c r="W468" s="68"/>
      <c r="X468" s="88"/>
      <c r="Y468" s="88"/>
      <c r="Z468" s="88"/>
      <c r="AA468" s="88"/>
      <c r="AB468" s="88"/>
      <c r="AC468" s="88"/>
    </row>
    <row r="469" spans="1:29" ht="28.5" hidden="1" customHeight="1" x14ac:dyDescent="0.2">
      <c r="A469" s="13" t="s">
        <v>9</v>
      </c>
      <c r="B469" s="111"/>
      <c r="C469" s="93" t="s">
        <v>36</v>
      </c>
      <c r="D469" s="40" t="s">
        <v>295</v>
      </c>
      <c r="E469" s="41" t="s">
        <v>339</v>
      </c>
      <c r="F469" s="40"/>
      <c r="G469" s="42" t="s">
        <v>113</v>
      </c>
      <c r="H469" s="43">
        <f>0.84*1.15*13</f>
        <v>12.557999999999998</v>
      </c>
      <c r="I469" s="44"/>
      <c r="J469" s="45"/>
      <c r="K469" s="46"/>
      <c r="L469" s="17"/>
      <c r="M469" s="47"/>
      <c r="N469" s="18"/>
      <c r="O469" s="47"/>
      <c r="P469" s="17"/>
      <c r="Q469" s="47"/>
      <c r="R469" s="18"/>
      <c r="S469" s="48"/>
      <c r="T469" s="49"/>
      <c r="U469" s="48"/>
      <c r="V469" s="49"/>
      <c r="W469" s="29"/>
      <c r="X469" s="89" t="s">
        <v>328</v>
      </c>
      <c r="Y469" s="8"/>
      <c r="Z469" s="8"/>
      <c r="AA469" s="8"/>
      <c r="AB469" s="8"/>
      <c r="AC469" s="8"/>
    </row>
    <row r="470" spans="1:29" ht="28.5" hidden="1" customHeight="1" x14ac:dyDescent="0.2">
      <c r="A470" s="13" t="s">
        <v>9</v>
      </c>
      <c r="B470" s="111"/>
      <c r="C470" s="93" t="s">
        <v>36</v>
      </c>
      <c r="D470" s="40" t="s">
        <v>295</v>
      </c>
      <c r="E470" s="41" t="s">
        <v>374</v>
      </c>
      <c r="F470" s="40"/>
      <c r="G470" s="42" t="s">
        <v>69</v>
      </c>
      <c r="H470" s="43">
        <f>H468*8</f>
        <v>87.36</v>
      </c>
      <c r="I470" s="44"/>
      <c r="J470" s="45"/>
      <c r="K470" s="46"/>
      <c r="L470" s="17"/>
      <c r="M470" s="47"/>
      <c r="N470" s="18"/>
      <c r="O470" s="47"/>
      <c r="P470" s="17"/>
      <c r="Q470" s="47"/>
      <c r="R470" s="18"/>
      <c r="S470" s="48"/>
      <c r="T470" s="49"/>
      <c r="U470" s="48"/>
      <c r="V470" s="49"/>
      <c r="W470" s="29"/>
      <c r="X470" s="89" t="s">
        <v>375</v>
      </c>
      <c r="Y470" s="8"/>
      <c r="Z470" s="8"/>
      <c r="AA470" s="8"/>
      <c r="AB470" s="8"/>
      <c r="AC470" s="8"/>
    </row>
    <row r="471" spans="1:29" s="85" customFormat="1" ht="28.5" customHeight="1" x14ac:dyDescent="0.2">
      <c r="A471" s="70" t="s">
        <v>14</v>
      </c>
      <c r="B471" s="71">
        <v>23</v>
      </c>
      <c r="C471" s="72" t="s">
        <v>36</v>
      </c>
      <c r="D471" s="75" t="s">
        <v>295</v>
      </c>
      <c r="E471" s="74" t="s">
        <v>302</v>
      </c>
      <c r="F471" s="75"/>
      <c r="G471" s="73" t="s">
        <v>69</v>
      </c>
      <c r="H471" s="76">
        <v>3</v>
      </c>
      <c r="I471" s="77"/>
      <c r="J471" s="76"/>
      <c r="K471" s="78"/>
      <c r="L471" s="79"/>
      <c r="M471" s="80"/>
      <c r="N471" s="81"/>
      <c r="O471" s="82"/>
      <c r="P471" s="79"/>
      <c r="Q471" s="80"/>
      <c r="R471" s="81"/>
      <c r="S471" s="80"/>
      <c r="T471" s="83"/>
      <c r="U471" s="84"/>
      <c r="V471" s="83"/>
    </row>
    <row r="472" spans="1:29" s="69" customFormat="1" ht="28.5" customHeight="1" x14ac:dyDescent="0.2">
      <c r="A472" s="66" t="s">
        <v>8</v>
      </c>
      <c r="B472" s="33" t="s">
        <v>393</v>
      </c>
      <c r="C472" s="23" t="s">
        <v>36</v>
      </c>
      <c r="D472" s="23" t="s">
        <v>295</v>
      </c>
      <c r="E472" s="24" t="s">
        <v>366</v>
      </c>
      <c r="F472" s="36"/>
      <c r="G472" s="37" t="s">
        <v>110</v>
      </c>
      <c r="H472" s="38">
        <f>SUM(H473:H477)/1.03</f>
        <v>0.59419015500000005</v>
      </c>
      <c r="I472" s="25"/>
      <c r="J472" s="34"/>
      <c r="K472" s="32"/>
      <c r="L472" s="26"/>
      <c r="M472" s="67"/>
      <c r="N472" s="28"/>
      <c r="O472" s="67"/>
      <c r="P472" s="26"/>
      <c r="Q472" s="67"/>
      <c r="R472" s="28"/>
      <c r="S472" s="27"/>
      <c r="T472" s="28"/>
      <c r="U472" s="27"/>
      <c r="V472" s="28"/>
      <c r="W472" s="68"/>
      <c r="X472" s="88"/>
      <c r="Y472" s="88"/>
      <c r="Z472" s="88"/>
      <c r="AA472" s="88"/>
      <c r="AB472" s="88"/>
      <c r="AC472" s="88"/>
    </row>
    <row r="473" spans="1:29" ht="28.5" hidden="1" customHeight="1" x14ac:dyDescent="0.2">
      <c r="A473" s="13" t="s">
        <v>9</v>
      </c>
      <c r="B473" s="111"/>
      <c r="C473" s="93" t="s">
        <v>36</v>
      </c>
      <c r="D473" s="40" t="s">
        <v>295</v>
      </c>
      <c r="E473" s="41" t="s">
        <v>320</v>
      </c>
      <c r="F473" s="40"/>
      <c r="G473" s="42" t="s">
        <v>110</v>
      </c>
      <c r="H473" s="43">
        <f>(1.8*10.79)*3/1000*1.03</f>
        <v>6.0013980000000008E-2</v>
      </c>
      <c r="I473" s="44"/>
      <c r="J473" s="45"/>
      <c r="K473" s="46"/>
      <c r="L473" s="17"/>
      <c r="M473" s="47"/>
      <c r="N473" s="18"/>
      <c r="O473" s="47"/>
      <c r="P473" s="17"/>
      <c r="Q473" s="47"/>
      <c r="R473" s="18"/>
      <c r="S473" s="48"/>
      <c r="T473" s="49"/>
      <c r="U473" s="48"/>
      <c r="V473" s="49"/>
      <c r="W473" s="29"/>
      <c r="X473" s="89" t="s">
        <v>127</v>
      </c>
      <c r="Y473" s="8"/>
      <c r="Z473" s="8"/>
      <c r="AA473" s="8"/>
      <c r="AB473" s="8"/>
      <c r="AC473" s="8"/>
    </row>
    <row r="474" spans="1:29" ht="28.5" hidden="1" customHeight="1" x14ac:dyDescent="0.2">
      <c r="A474" s="13" t="s">
        <v>9</v>
      </c>
      <c r="B474" s="111"/>
      <c r="C474" s="93" t="s">
        <v>36</v>
      </c>
      <c r="D474" s="40" t="s">
        <v>295</v>
      </c>
      <c r="E474" s="41" t="s">
        <v>321</v>
      </c>
      <c r="F474" s="40"/>
      <c r="G474" s="42" t="s">
        <v>110</v>
      </c>
      <c r="H474" s="43">
        <f>(20.32*6.39)*3/1000*1.03</f>
        <v>0.40122043200000002</v>
      </c>
      <c r="I474" s="44"/>
      <c r="J474" s="45"/>
      <c r="K474" s="46"/>
      <c r="L474" s="17"/>
      <c r="M474" s="47"/>
      <c r="N474" s="18"/>
      <c r="O474" s="47"/>
      <c r="P474" s="17"/>
      <c r="Q474" s="47"/>
      <c r="R474" s="18"/>
      <c r="S474" s="48"/>
      <c r="T474" s="49"/>
      <c r="U474" s="48"/>
      <c r="V474" s="49"/>
      <c r="W474" s="29"/>
      <c r="X474" s="89" t="s">
        <v>127</v>
      </c>
      <c r="Y474" s="8"/>
      <c r="Z474" s="8"/>
      <c r="AA474" s="8"/>
      <c r="AB474" s="8"/>
      <c r="AC474" s="8"/>
    </row>
    <row r="475" spans="1:29" ht="28.5" hidden="1" customHeight="1" x14ac:dyDescent="0.2">
      <c r="A475" s="13" t="s">
        <v>9</v>
      </c>
      <c r="B475" s="111"/>
      <c r="C475" s="93" t="s">
        <v>36</v>
      </c>
      <c r="D475" s="40" t="s">
        <v>295</v>
      </c>
      <c r="E475" s="41" t="s">
        <v>322</v>
      </c>
      <c r="F475" s="40"/>
      <c r="G475" s="42" t="s">
        <v>110</v>
      </c>
      <c r="H475" s="43">
        <f>((1.91*0.3)*4)*3/1000*1.03</f>
        <v>7.0822799999999998E-3</v>
      </c>
      <c r="I475" s="44"/>
      <c r="J475" s="45"/>
      <c r="K475" s="46"/>
      <c r="L475" s="17"/>
      <c r="M475" s="47"/>
      <c r="N475" s="18"/>
      <c r="O475" s="47"/>
      <c r="P475" s="17"/>
      <c r="Q475" s="47"/>
      <c r="R475" s="18"/>
      <c r="S475" s="48"/>
      <c r="T475" s="49"/>
      <c r="U475" s="48"/>
      <c r="V475" s="49"/>
      <c r="W475" s="29"/>
      <c r="X475" s="89" t="s">
        <v>127</v>
      </c>
      <c r="Y475" s="8"/>
      <c r="Z475" s="8"/>
      <c r="AA475" s="8"/>
      <c r="AB475" s="8"/>
      <c r="AC475" s="8"/>
    </row>
    <row r="476" spans="1:29" ht="28.5" hidden="1" customHeight="1" x14ac:dyDescent="0.2">
      <c r="A476" s="13" t="s">
        <v>9</v>
      </c>
      <c r="B476" s="111"/>
      <c r="C476" s="93" t="s">
        <v>36</v>
      </c>
      <c r="D476" s="40" t="s">
        <v>295</v>
      </c>
      <c r="E476" s="41" t="s">
        <v>323</v>
      </c>
      <c r="F476" s="40"/>
      <c r="G476" s="42" t="s">
        <v>110</v>
      </c>
      <c r="H476" s="43">
        <f>(2.35*14.05)*3/1000*1.03</f>
        <v>0.10202407500000002</v>
      </c>
      <c r="I476" s="44"/>
      <c r="J476" s="45"/>
      <c r="K476" s="46"/>
      <c r="L476" s="17"/>
      <c r="M476" s="47"/>
      <c r="N476" s="18"/>
      <c r="O476" s="47"/>
      <c r="P476" s="17"/>
      <c r="Q476" s="47"/>
      <c r="R476" s="18"/>
      <c r="S476" s="48"/>
      <c r="T476" s="49"/>
      <c r="U476" s="48"/>
      <c r="V476" s="49"/>
      <c r="W476" s="29"/>
      <c r="X476" s="89" t="s">
        <v>127</v>
      </c>
      <c r="Y476" s="8"/>
      <c r="Z476" s="8"/>
      <c r="AA476" s="8"/>
      <c r="AB476" s="8"/>
      <c r="AC476" s="8"/>
    </row>
    <row r="477" spans="1:29" ht="28.5" hidden="1" customHeight="1" x14ac:dyDescent="0.2">
      <c r="A477" s="13" t="s">
        <v>9</v>
      </c>
      <c r="B477" s="111"/>
      <c r="C477" s="93" t="s">
        <v>36</v>
      </c>
      <c r="D477" s="40" t="s">
        <v>295</v>
      </c>
      <c r="E477" s="41" t="s">
        <v>341</v>
      </c>
      <c r="F477" s="40"/>
      <c r="G477" s="42" t="s">
        <v>110</v>
      </c>
      <c r="H477" s="43">
        <f>((0.69*0.83)*23.55)*3/1000*1.03</f>
        <v>4.1675092649999995E-2</v>
      </c>
      <c r="I477" s="44"/>
      <c r="J477" s="45"/>
      <c r="K477" s="46"/>
      <c r="L477" s="17"/>
      <c r="M477" s="47"/>
      <c r="N477" s="18"/>
      <c r="O477" s="47"/>
      <c r="P477" s="17"/>
      <c r="Q477" s="47"/>
      <c r="R477" s="18"/>
      <c r="S477" s="48"/>
      <c r="T477" s="49"/>
      <c r="U477" s="48"/>
      <c r="V477" s="49"/>
      <c r="W477" s="29"/>
      <c r="X477" s="89" t="s">
        <v>127</v>
      </c>
      <c r="Y477" s="8"/>
      <c r="Z477" s="8"/>
      <c r="AA477" s="8"/>
      <c r="AB477" s="8"/>
      <c r="AC477" s="8"/>
    </row>
    <row r="478" spans="1:29" s="69" customFormat="1" ht="38.25" x14ac:dyDescent="0.2">
      <c r="A478" s="66" t="s">
        <v>8</v>
      </c>
      <c r="B478" s="33" t="s">
        <v>394</v>
      </c>
      <c r="C478" s="23" t="s">
        <v>36</v>
      </c>
      <c r="D478" s="23" t="s">
        <v>295</v>
      </c>
      <c r="E478" s="24" t="s">
        <v>508</v>
      </c>
      <c r="F478" s="36"/>
      <c r="G478" s="37" t="s">
        <v>128</v>
      </c>
      <c r="H478" s="38">
        <f>SUM(H479:H480)/1.15</f>
        <v>1.1400000000000001</v>
      </c>
      <c r="I478" s="25"/>
      <c r="J478" s="34"/>
      <c r="K478" s="32"/>
      <c r="L478" s="26"/>
      <c r="M478" s="67"/>
      <c r="N478" s="28"/>
      <c r="O478" s="67"/>
      <c r="P478" s="26"/>
      <c r="Q478" s="67"/>
      <c r="R478" s="28"/>
      <c r="S478" s="27"/>
      <c r="T478" s="28"/>
      <c r="U478" s="27"/>
      <c r="V478" s="28"/>
      <c r="W478" s="68"/>
      <c r="X478" s="88"/>
      <c r="Y478" s="88"/>
      <c r="Z478" s="88"/>
      <c r="AA478" s="88"/>
      <c r="AB478" s="88"/>
      <c r="AC478" s="88"/>
    </row>
    <row r="479" spans="1:29" ht="28.5" hidden="1" customHeight="1" x14ac:dyDescent="0.2">
      <c r="A479" s="13" t="s">
        <v>9</v>
      </c>
      <c r="B479" s="111"/>
      <c r="C479" s="93" t="s">
        <v>36</v>
      </c>
      <c r="D479" s="40" t="s">
        <v>295</v>
      </c>
      <c r="E479" s="41" t="s">
        <v>325</v>
      </c>
      <c r="F479" s="40"/>
      <c r="G479" s="42" t="s">
        <v>107</v>
      </c>
      <c r="H479" s="43">
        <f>0.203*1.15*3</f>
        <v>0.70035000000000003</v>
      </c>
      <c r="I479" s="44"/>
      <c r="J479" s="45"/>
      <c r="K479" s="46"/>
      <c r="L479" s="17"/>
      <c r="M479" s="47"/>
      <c r="N479" s="18"/>
      <c r="O479" s="47"/>
      <c r="P479" s="17"/>
      <c r="Q479" s="47"/>
      <c r="R479" s="18"/>
      <c r="S479" s="48"/>
      <c r="T479" s="49"/>
      <c r="U479" s="48"/>
      <c r="V479" s="49"/>
      <c r="W479" s="29"/>
      <c r="X479" s="89" t="s">
        <v>170</v>
      </c>
      <c r="Y479" s="8"/>
      <c r="Z479" s="8"/>
      <c r="AA479" s="8"/>
      <c r="AB479" s="8"/>
      <c r="AC479" s="8"/>
    </row>
    <row r="480" spans="1:29" ht="28.5" hidden="1" customHeight="1" x14ac:dyDescent="0.2">
      <c r="A480" s="13" t="s">
        <v>9</v>
      </c>
      <c r="B480" s="111"/>
      <c r="C480" s="93" t="s">
        <v>36</v>
      </c>
      <c r="D480" s="40" t="s">
        <v>295</v>
      </c>
      <c r="E480" s="41" t="s">
        <v>326</v>
      </c>
      <c r="F480" s="40"/>
      <c r="G480" s="42" t="s">
        <v>107</v>
      </c>
      <c r="H480" s="43">
        <f>0.177*1.15*3</f>
        <v>0.61064999999999992</v>
      </c>
      <c r="I480" s="44"/>
      <c r="J480" s="45"/>
      <c r="K480" s="46"/>
      <c r="L480" s="17"/>
      <c r="M480" s="47"/>
      <c r="N480" s="18"/>
      <c r="O480" s="47"/>
      <c r="P480" s="17"/>
      <c r="Q480" s="47"/>
      <c r="R480" s="18"/>
      <c r="S480" s="48"/>
      <c r="T480" s="49"/>
      <c r="U480" s="48"/>
      <c r="V480" s="49"/>
      <c r="W480" s="29"/>
      <c r="X480" s="89" t="s">
        <v>170</v>
      </c>
      <c r="Y480" s="8"/>
      <c r="Z480" s="8"/>
      <c r="AA480" s="8"/>
      <c r="AB480" s="8"/>
      <c r="AC480" s="8"/>
    </row>
    <row r="481" spans="1:29" s="69" customFormat="1" ht="28.5" customHeight="1" x14ac:dyDescent="0.2">
      <c r="A481" s="66" t="s">
        <v>8</v>
      </c>
      <c r="B481" s="33" t="s">
        <v>395</v>
      </c>
      <c r="C481" s="23" t="s">
        <v>36</v>
      </c>
      <c r="D481" s="23" t="s">
        <v>295</v>
      </c>
      <c r="E481" s="24" t="s">
        <v>370</v>
      </c>
      <c r="F481" s="36"/>
      <c r="G481" s="37" t="s">
        <v>119</v>
      </c>
      <c r="H481" s="38">
        <f>H482/1.15</f>
        <v>35.04</v>
      </c>
      <c r="I481" s="25"/>
      <c r="J481" s="34"/>
      <c r="K481" s="32"/>
      <c r="L481" s="26"/>
      <c r="M481" s="67"/>
      <c r="N481" s="28"/>
      <c r="O481" s="67"/>
      <c r="P481" s="26"/>
      <c r="Q481" s="67"/>
      <c r="R481" s="28"/>
      <c r="S481" s="27"/>
      <c r="T481" s="28"/>
      <c r="U481" s="27"/>
      <c r="V481" s="28"/>
      <c r="W481" s="68"/>
      <c r="X481" s="114" t="s">
        <v>512</v>
      </c>
      <c r="Y481" s="114"/>
      <c r="Z481" s="114"/>
      <c r="AA481" s="88"/>
      <c r="AB481" s="88"/>
      <c r="AC481" s="88"/>
    </row>
    <row r="482" spans="1:29" ht="28.5" hidden="1" customHeight="1" x14ac:dyDescent="0.2">
      <c r="A482" s="13" t="s">
        <v>9</v>
      </c>
      <c r="B482" s="111"/>
      <c r="C482" s="93" t="s">
        <v>36</v>
      </c>
      <c r="D482" s="40" t="s">
        <v>295</v>
      </c>
      <c r="E482" s="41" t="s">
        <v>327</v>
      </c>
      <c r="F482" s="40"/>
      <c r="G482" s="42" t="s">
        <v>113</v>
      </c>
      <c r="H482" s="43">
        <f>11.68*1.15*3</f>
        <v>40.295999999999992</v>
      </c>
      <c r="I482" s="44"/>
      <c r="J482" s="45"/>
      <c r="K482" s="46"/>
      <c r="L482" s="17"/>
      <c r="M482" s="47"/>
      <c r="N482" s="18"/>
      <c r="O482" s="47"/>
      <c r="P482" s="17"/>
      <c r="Q482" s="47"/>
      <c r="R482" s="18"/>
      <c r="S482" s="48"/>
      <c r="T482" s="49"/>
      <c r="U482" s="48"/>
      <c r="V482" s="49"/>
      <c r="W482" s="29"/>
      <c r="X482" s="89" t="s">
        <v>328</v>
      </c>
      <c r="Y482" s="8"/>
      <c r="Z482" s="8"/>
      <c r="AA482" s="8"/>
      <c r="AB482" s="8"/>
      <c r="AC482" s="8"/>
    </row>
    <row r="483" spans="1:29" s="69" customFormat="1" ht="28.5" customHeight="1" x14ac:dyDescent="0.2">
      <c r="A483" s="66" t="s">
        <v>8</v>
      </c>
      <c r="B483" s="33" t="s">
        <v>396</v>
      </c>
      <c r="C483" s="23" t="s">
        <v>36</v>
      </c>
      <c r="D483" s="23" t="s">
        <v>295</v>
      </c>
      <c r="E483" s="24" t="s">
        <v>371</v>
      </c>
      <c r="F483" s="36"/>
      <c r="G483" s="37" t="s">
        <v>193</v>
      </c>
      <c r="H483" s="38">
        <f>H484/1.15</f>
        <v>6.8999999999999995</v>
      </c>
      <c r="I483" s="25"/>
      <c r="J483" s="34"/>
      <c r="K483" s="32"/>
      <c r="L483" s="26"/>
      <c r="M483" s="67"/>
      <c r="N483" s="28"/>
      <c r="O483" s="67"/>
      <c r="P483" s="26"/>
      <c r="Q483" s="67"/>
      <c r="R483" s="28"/>
      <c r="S483" s="27"/>
      <c r="T483" s="28"/>
      <c r="U483" s="27"/>
      <c r="V483" s="28"/>
      <c r="W483" s="68"/>
      <c r="X483" s="114" t="s">
        <v>510</v>
      </c>
      <c r="Y483" s="114"/>
      <c r="Z483" s="114"/>
      <c r="AA483" s="114"/>
      <c r="AB483" s="114"/>
      <c r="AC483" s="114"/>
    </row>
    <row r="484" spans="1:29" ht="28.5" hidden="1" customHeight="1" x14ac:dyDescent="0.2">
      <c r="A484" s="13" t="s">
        <v>9</v>
      </c>
      <c r="B484" s="111"/>
      <c r="C484" s="93" t="s">
        <v>36</v>
      </c>
      <c r="D484" s="40" t="s">
        <v>295</v>
      </c>
      <c r="E484" s="41" t="s">
        <v>329</v>
      </c>
      <c r="F484" s="40"/>
      <c r="G484" s="42" t="s">
        <v>193</v>
      </c>
      <c r="H484" s="43">
        <f>2.3*1.15*3</f>
        <v>7.9349999999999987</v>
      </c>
      <c r="I484" s="44"/>
      <c r="J484" s="45"/>
      <c r="K484" s="46"/>
      <c r="L484" s="17"/>
      <c r="M484" s="47"/>
      <c r="N484" s="18"/>
      <c r="O484" s="47"/>
      <c r="P484" s="17"/>
      <c r="Q484" s="47"/>
      <c r="R484" s="18"/>
      <c r="S484" s="48"/>
      <c r="T484" s="49"/>
      <c r="U484" s="48"/>
      <c r="V484" s="49"/>
      <c r="W484" s="29"/>
      <c r="X484" s="89" t="s">
        <v>330</v>
      </c>
      <c r="Y484" s="8"/>
      <c r="Z484" s="8"/>
      <c r="AA484" s="8"/>
      <c r="AB484" s="8"/>
      <c r="AC484" s="8"/>
    </row>
    <row r="485" spans="1:29" ht="28.5" hidden="1" customHeight="1" x14ac:dyDescent="0.2">
      <c r="A485" s="13" t="s">
        <v>9</v>
      </c>
      <c r="B485" s="111"/>
      <c r="C485" s="93" t="s">
        <v>36</v>
      </c>
      <c r="D485" s="40" t="s">
        <v>295</v>
      </c>
      <c r="E485" s="41" t="s">
        <v>191</v>
      </c>
      <c r="F485" s="40"/>
      <c r="G485" s="42" t="s">
        <v>69</v>
      </c>
      <c r="H485" s="112">
        <f>H483/0.2*3</f>
        <v>103.49999999999997</v>
      </c>
      <c r="I485" s="44"/>
      <c r="J485" s="45"/>
      <c r="K485" s="46"/>
      <c r="L485" s="17"/>
      <c r="M485" s="47"/>
      <c r="N485" s="18"/>
      <c r="O485" s="47"/>
      <c r="P485" s="17"/>
      <c r="Q485" s="47"/>
      <c r="R485" s="18"/>
      <c r="S485" s="48"/>
      <c r="T485" s="49"/>
      <c r="U485" s="48"/>
      <c r="V485" s="49"/>
      <c r="W485" s="29"/>
      <c r="X485" s="89" t="s">
        <v>333</v>
      </c>
      <c r="Y485" s="8"/>
      <c r="Z485" s="8"/>
      <c r="AA485" s="8"/>
      <c r="AB485" s="8"/>
      <c r="AC485" s="8"/>
    </row>
    <row r="486" spans="1:29" s="69" customFormat="1" ht="28.5" customHeight="1" x14ac:dyDescent="0.2">
      <c r="A486" s="66" t="s">
        <v>8</v>
      </c>
      <c r="B486" s="33" t="s">
        <v>397</v>
      </c>
      <c r="C486" s="23" t="s">
        <v>36</v>
      </c>
      <c r="D486" s="23" t="s">
        <v>295</v>
      </c>
      <c r="E486" s="24" t="s">
        <v>368</v>
      </c>
      <c r="F486" s="36"/>
      <c r="G486" s="37" t="s">
        <v>128</v>
      </c>
      <c r="H486" s="38">
        <f>H487/1.15</f>
        <v>1.9800000000000002</v>
      </c>
      <c r="I486" s="25"/>
      <c r="J486" s="34"/>
      <c r="K486" s="32"/>
      <c r="L486" s="26"/>
      <c r="M486" s="67"/>
      <c r="N486" s="28"/>
      <c r="O486" s="67"/>
      <c r="P486" s="26"/>
      <c r="Q486" s="67"/>
      <c r="R486" s="28"/>
      <c r="S486" s="27"/>
      <c r="T486" s="28"/>
      <c r="U486" s="27"/>
      <c r="V486" s="28"/>
      <c r="W486" s="68"/>
      <c r="X486" s="88"/>
      <c r="Y486" s="88"/>
      <c r="Z486" s="88"/>
      <c r="AA486" s="88"/>
      <c r="AB486" s="88"/>
      <c r="AC486" s="88"/>
    </row>
    <row r="487" spans="1:29" ht="28.5" hidden="1" customHeight="1" x14ac:dyDescent="0.2">
      <c r="A487" s="13" t="s">
        <v>9</v>
      </c>
      <c r="B487" s="111"/>
      <c r="C487" s="93" t="s">
        <v>36</v>
      </c>
      <c r="D487" s="40" t="s">
        <v>295</v>
      </c>
      <c r="E487" s="41" t="s">
        <v>331</v>
      </c>
      <c r="F487" s="40"/>
      <c r="G487" s="42" t="s">
        <v>107</v>
      </c>
      <c r="H487" s="43">
        <f>6.6*0.1*1.15*3</f>
        <v>2.2770000000000001</v>
      </c>
      <c r="I487" s="44"/>
      <c r="J487" s="45"/>
      <c r="K487" s="46"/>
      <c r="L487" s="17"/>
      <c r="M487" s="47"/>
      <c r="N487" s="18"/>
      <c r="O487" s="47"/>
      <c r="P487" s="17"/>
      <c r="Q487" s="47"/>
      <c r="R487" s="18"/>
      <c r="S487" s="48"/>
      <c r="T487" s="49"/>
      <c r="U487" s="48"/>
      <c r="V487" s="49"/>
      <c r="W487" s="29"/>
      <c r="X487" s="89" t="s">
        <v>330</v>
      </c>
      <c r="Y487" s="8"/>
      <c r="Z487" s="8"/>
      <c r="AA487" s="8"/>
      <c r="AB487" s="8"/>
      <c r="AC487" s="8"/>
    </row>
    <row r="488" spans="1:29" s="69" customFormat="1" ht="28.5" customHeight="1" x14ac:dyDescent="0.2">
      <c r="A488" s="66" t="s">
        <v>8</v>
      </c>
      <c r="B488" s="33" t="s">
        <v>398</v>
      </c>
      <c r="C488" s="23" t="s">
        <v>36</v>
      </c>
      <c r="D488" s="23" t="s">
        <v>295</v>
      </c>
      <c r="E488" s="24" t="s">
        <v>369</v>
      </c>
      <c r="F488" s="36"/>
      <c r="G488" s="37" t="s">
        <v>119</v>
      </c>
      <c r="H488" s="38">
        <f>H489/1.15</f>
        <v>19.799999999999997</v>
      </c>
      <c r="I488" s="25"/>
      <c r="J488" s="34"/>
      <c r="K488" s="32"/>
      <c r="L488" s="26"/>
      <c r="M488" s="67"/>
      <c r="N488" s="28"/>
      <c r="O488" s="67"/>
      <c r="P488" s="26"/>
      <c r="Q488" s="67"/>
      <c r="R488" s="28"/>
      <c r="S488" s="27"/>
      <c r="T488" s="28"/>
      <c r="U488" s="27"/>
      <c r="V488" s="28"/>
      <c r="W488" s="68"/>
      <c r="X488" s="88"/>
      <c r="Y488" s="88"/>
      <c r="Z488" s="88"/>
      <c r="AA488" s="88"/>
      <c r="AB488" s="88"/>
      <c r="AC488" s="88"/>
    </row>
    <row r="489" spans="1:29" ht="28.5" hidden="1" customHeight="1" x14ac:dyDescent="0.2">
      <c r="A489" s="13" t="s">
        <v>9</v>
      </c>
      <c r="B489" s="111"/>
      <c r="C489" s="93" t="s">
        <v>36</v>
      </c>
      <c r="D489" s="40" t="s">
        <v>295</v>
      </c>
      <c r="E489" s="41" t="s">
        <v>332</v>
      </c>
      <c r="F489" s="40"/>
      <c r="G489" s="42" t="s">
        <v>113</v>
      </c>
      <c r="H489" s="43">
        <f>6.6*1.15*3</f>
        <v>22.769999999999996</v>
      </c>
      <c r="I489" s="44"/>
      <c r="J489" s="45"/>
      <c r="K489" s="46"/>
      <c r="L489" s="17"/>
      <c r="M489" s="47"/>
      <c r="N489" s="18"/>
      <c r="O489" s="47"/>
      <c r="P489" s="17"/>
      <c r="Q489" s="47"/>
      <c r="R489" s="18"/>
      <c r="S489" s="48"/>
      <c r="T489" s="49"/>
      <c r="U489" s="48"/>
      <c r="V489" s="49"/>
      <c r="W489" s="29"/>
      <c r="X489" s="89" t="s">
        <v>328</v>
      </c>
      <c r="Y489" s="8"/>
      <c r="Z489" s="8"/>
      <c r="AA489" s="8"/>
      <c r="AB489" s="8"/>
      <c r="AC489" s="8"/>
    </row>
    <row r="490" spans="1:29" s="85" customFormat="1" ht="28.5" customHeight="1" x14ac:dyDescent="0.2">
      <c r="A490" s="70" t="s">
        <v>14</v>
      </c>
      <c r="B490" s="71">
        <v>24</v>
      </c>
      <c r="C490" s="72" t="s">
        <v>36</v>
      </c>
      <c r="D490" s="75" t="s">
        <v>295</v>
      </c>
      <c r="E490" s="74" t="s">
        <v>312</v>
      </c>
      <c r="F490" s="75"/>
      <c r="G490" s="73" t="s">
        <v>69</v>
      </c>
      <c r="H490" s="76">
        <v>3</v>
      </c>
      <c r="I490" s="77"/>
      <c r="J490" s="76"/>
      <c r="K490" s="78"/>
      <c r="L490" s="79"/>
      <c r="M490" s="80"/>
      <c r="N490" s="81"/>
      <c r="O490" s="82"/>
      <c r="P490" s="79"/>
      <c r="Q490" s="80"/>
      <c r="R490" s="81"/>
      <c r="S490" s="80"/>
      <c r="T490" s="83"/>
      <c r="U490" s="84"/>
      <c r="V490" s="83"/>
    </row>
    <row r="491" spans="1:29" s="69" customFormat="1" ht="28.5" customHeight="1" x14ac:dyDescent="0.2">
      <c r="A491" s="66" t="s">
        <v>8</v>
      </c>
      <c r="B491" s="33" t="s">
        <v>399</v>
      </c>
      <c r="C491" s="23" t="s">
        <v>36</v>
      </c>
      <c r="D491" s="23" t="s">
        <v>295</v>
      </c>
      <c r="E491" s="24" t="s">
        <v>367</v>
      </c>
      <c r="F491" s="36"/>
      <c r="G491" s="37" t="s">
        <v>110</v>
      </c>
      <c r="H491" s="38">
        <f>SUM(H492:H496)/1.03</f>
        <v>2.4095399999999999E-2</v>
      </c>
      <c r="I491" s="25"/>
      <c r="J491" s="34"/>
      <c r="K491" s="32"/>
      <c r="L491" s="26"/>
      <c r="M491" s="67"/>
      <c r="N491" s="28"/>
      <c r="O491" s="67"/>
      <c r="P491" s="26"/>
      <c r="Q491" s="67"/>
      <c r="R491" s="28"/>
      <c r="S491" s="27"/>
      <c r="T491" s="28"/>
      <c r="U491" s="27"/>
      <c r="V491" s="28"/>
      <c r="W491" s="68"/>
      <c r="X491" s="88"/>
      <c r="Y491" s="88"/>
      <c r="Z491" s="88"/>
      <c r="AA491" s="88"/>
      <c r="AB491" s="88"/>
      <c r="AC491" s="88"/>
    </row>
    <row r="492" spans="1:29" ht="28.5" hidden="1" customHeight="1" x14ac:dyDescent="0.2">
      <c r="A492" s="13" t="s">
        <v>9</v>
      </c>
      <c r="B492" s="111"/>
      <c r="C492" s="93" t="s">
        <v>36</v>
      </c>
      <c r="D492" s="40" t="s">
        <v>295</v>
      </c>
      <c r="E492" s="41" t="s">
        <v>335</v>
      </c>
      <c r="F492" s="40"/>
      <c r="G492" s="42" t="s">
        <v>110</v>
      </c>
      <c r="H492" s="113">
        <f>((0.94*0.38)*2)*3/1000*1.03</f>
        <v>2.2074959999999998E-3</v>
      </c>
      <c r="I492" s="44"/>
      <c r="J492" s="45"/>
      <c r="K492" s="46"/>
      <c r="L492" s="17"/>
      <c r="M492" s="47"/>
      <c r="N492" s="18"/>
      <c r="O492" s="47"/>
      <c r="P492" s="17"/>
      <c r="Q492" s="47"/>
      <c r="R492" s="18"/>
      <c r="S492" s="48"/>
      <c r="T492" s="49"/>
      <c r="U492" s="48"/>
      <c r="V492" s="49"/>
      <c r="W492" s="29"/>
      <c r="X492" s="89" t="s">
        <v>127</v>
      </c>
      <c r="Y492" s="8"/>
      <c r="Z492" s="8"/>
      <c r="AA492" s="8"/>
      <c r="AB492" s="8"/>
      <c r="AC492" s="8"/>
    </row>
    <row r="493" spans="1:29" ht="28.5" hidden="1" customHeight="1" x14ac:dyDescent="0.2">
      <c r="A493" s="13" t="s">
        <v>9</v>
      </c>
      <c r="B493" s="111"/>
      <c r="C493" s="93" t="s">
        <v>36</v>
      </c>
      <c r="D493" s="40" t="s">
        <v>295</v>
      </c>
      <c r="E493" s="41" t="s">
        <v>336</v>
      </c>
      <c r="F493" s="40"/>
      <c r="G493" s="42" t="s">
        <v>110</v>
      </c>
      <c r="H493" s="113">
        <f>(0.94*0.66)*3/1000*1.03</f>
        <v>1.9170359999999998E-3</v>
      </c>
      <c r="I493" s="44"/>
      <c r="J493" s="45"/>
      <c r="K493" s="46"/>
      <c r="L493" s="17"/>
      <c r="M493" s="47"/>
      <c r="N493" s="18"/>
      <c r="O493" s="47"/>
      <c r="P493" s="17"/>
      <c r="Q493" s="47"/>
      <c r="R493" s="18"/>
      <c r="S493" s="48"/>
      <c r="T493" s="49"/>
      <c r="U493" s="48"/>
      <c r="V493" s="49"/>
      <c r="W493" s="29"/>
      <c r="X493" s="89" t="s">
        <v>127</v>
      </c>
      <c r="Y493" s="8"/>
      <c r="Z493" s="8"/>
      <c r="AA493" s="8"/>
      <c r="AB493" s="8"/>
      <c r="AC493" s="8"/>
    </row>
    <row r="494" spans="1:29" ht="28.5" hidden="1" customHeight="1" x14ac:dyDescent="0.2">
      <c r="A494" s="13" t="s">
        <v>9</v>
      </c>
      <c r="B494" s="111"/>
      <c r="C494" s="93" t="s">
        <v>36</v>
      </c>
      <c r="D494" s="40" t="s">
        <v>295</v>
      </c>
      <c r="E494" s="41" t="s">
        <v>337</v>
      </c>
      <c r="F494" s="40"/>
      <c r="G494" s="42" t="s">
        <v>110</v>
      </c>
      <c r="H494" s="113">
        <f>(0.94*1.3)*3/1000*1.03</f>
        <v>3.77598E-3</v>
      </c>
      <c r="I494" s="44"/>
      <c r="J494" s="45"/>
      <c r="K494" s="46"/>
      <c r="L494" s="17"/>
      <c r="M494" s="47"/>
      <c r="N494" s="18"/>
      <c r="O494" s="47"/>
      <c r="P494" s="17"/>
      <c r="Q494" s="47"/>
      <c r="R494" s="18"/>
      <c r="S494" s="48"/>
      <c r="T494" s="49"/>
      <c r="U494" s="48"/>
      <c r="V494" s="49"/>
      <c r="W494" s="29"/>
      <c r="X494" s="89" t="s">
        <v>127</v>
      </c>
      <c r="Y494" s="8"/>
      <c r="Z494" s="8"/>
      <c r="AA494" s="8"/>
      <c r="AB494" s="8"/>
      <c r="AC494" s="8"/>
    </row>
    <row r="495" spans="1:29" ht="28.5" hidden="1" customHeight="1" x14ac:dyDescent="0.2">
      <c r="A495" s="13" t="s">
        <v>9</v>
      </c>
      <c r="B495" s="111"/>
      <c r="C495" s="93" t="s">
        <v>36</v>
      </c>
      <c r="D495" s="40" t="s">
        <v>295</v>
      </c>
      <c r="E495" s="41" t="s">
        <v>338</v>
      </c>
      <c r="F495" s="40"/>
      <c r="G495" s="42" t="s">
        <v>110</v>
      </c>
      <c r="H495" s="43">
        <f>(2.2*1.36)*3/1000*1.03</f>
        <v>9.2452800000000016E-3</v>
      </c>
      <c r="I495" s="44"/>
      <c r="J495" s="45"/>
      <c r="K495" s="46"/>
      <c r="L495" s="17"/>
      <c r="M495" s="47"/>
      <c r="N495" s="18"/>
      <c r="O495" s="47"/>
      <c r="P495" s="17"/>
      <c r="Q495" s="47"/>
      <c r="R495" s="18"/>
      <c r="S495" s="48"/>
      <c r="T495" s="49"/>
      <c r="U495" s="48"/>
      <c r="V495" s="49"/>
      <c r="W495" s="29"/>
      <c r="X495" s="89" t="s">
        <v>127</v>
      </c>
      <c r="Y495" s="8"/>
      <c r="Z495" s="8"/>
      <c r="AA495" s="8"/>
      <c r="AB495" s="8"/>
      <c r="AC495" s="8"/>
    </row>
    <row r="496" spans="1:29" ht="28.5" hidden="1" customHeight="1" x14ac:dyDescent="0.2">
      <c r="A496" s="13" t="s">
        <v>9</v>
      </c>
      <c r="B496" s="111"/>
      <c r="C496" s="93" t="s">
        <v>36</v>
      </c>
      <c r="D496" s="40" t="s">
        <v>295</v>
      </c>
      <c r="E496" s="41" t="s">
        <v>345</v>
      </c>
      <c r="F496" s="40"/>
      <c r="G496" s="42" t="s">
        <v>110</v>
      </c>
      <c r="H496" s="43">
        <f>(1.91*1.3)*3/1000*1.03</f>
        <v>7.6724699999999998E-3</v>
      </c>
      <c r="I496" s="44"/>
      <c r="J496" s="45"/>
      <c r="K496" s="46"/>
      <c r="L496" s="17"/>
      <c r="M496" s="47"/>
      <c r="N496" s="18"/>
      <c r="O496" s="47"/>
      <c r="P496" s="17"/>
      <c r="Q496" s="47"/>
      <c r="R496" s="18"/>
      <c r="S496" s="48"/>
      <c r="T496" s="49"/>
      <c r="U496" s="48"/>
      <c r="V496" s="49"/>
      <c r="W496" s="29"/>
      <c r="X496" s="89" t="s">
        <v>127</v>
      </c>
      <c r="Y496" s="8"/>
      <c r="Z496" s="8"/>
      <c r="AA496" s="8"/>
      <c r="AB496" s="8"/>
      <c r="AC496" s="8"/>
    </row>
    <row r="497" spans="1:29" s="69" customFormat="1" ht="28.5" customHeight="1" x14ac:dyDescent="0.2">
      <c r="A497" s="66" t="s">
        <v>8</v>
      </c>
      <c r="B497" s="33" t="s">
        <v>400</v>
      </c>
      <c r="C497" s="23" t="s">
        <v>36</v>
      </c>
      <c r="D497" s="23" t="s">
        <v>295</v>
      </c>
      <c r="E497" s="24" t="s">
        <v>373</v>
      </c>
      <c r="F497" s="36"/>
      <c r="G497" s="37" t="s">
        <v>119</v>
      </c>
      <c r="H497" s="38">
        <f>H498/1.15</f>
        <v>1.77</v>
      </c>
      <c r="I497" s="25"/>
      <c r="J497" s="34"/>
      <c r="K497" s="32"/>
      <c r="L497" s="26"/>
      <c r="M497" s="67"/>
      <c r="N497" s="28"/>
      <c r="O497" s="67"/>
      <c r="P497" s="26"/>
      <c r="Q497" s="67"/>
      <c r="R497" s="28"/>
      <c r="S497" s="27"/>
      <c r="T497" s="28"/>
      <c r="U497" s="27"/>
      <c r="V497" s="28"/>
      <c r="W497" s="68"/>
      <c r="X497" s="88"/>
      <c r="Y497" s="88"/>
      <c r="Z497" s="88"/>
      <c r="AA497" s="88"/>
      <c r="AB497" s="88"/>
      <c r="AC497" s="88"/>
    </row>
    <row r="498" spans="1:29" ht="28.5" hidden="1" customHeight="1" x14ac:dyDescent="0.2">
      <c r="A498" s="13" t="s">
        <v>9</v>
      </c>
      <c r="B498" s="111"/>
      <c r="C498" s="93" t="s">
        <v>36</v>
      </c>
      <c r="D498" s="40" t="s">
        <v>295</v>
      </c>
      <c r="E498" s="41" t="s">
        <v>339</v>
      </c>
      <c r="F498" s="40"/>
      <c r="G498" s="42" t="s">
        <v>113</v>
      </c>
      <c r="H498" s="43">
        <f>0.59*1.15*3</f>
        <v>2.0354999999999999</v>
      </c>
      <c r="I498" s="44"/>
      <c r="J498" s="45"/>
      <c r="K498" s="46"/>
      <c r="L498" s="17"/>
      <c r="M498" s="47"/>
      <c r="N498" s="18"/>
      <c r="O498" s="47"/>
      <c r="P498" s="17"/>
      <c r="Q498" s="47"/>
      <c r="R498" s="18"/>
      <c r="S498" s="48"/>
      <c r="T498" s="49"/>
      <c r="U498" s="48"/>
      <c r="V498" s="49"/>
      <c r="W498" s="29"/>
      <c r="X498" s="89" t="s">
        <v>328</v>
      </c>
      <c r="Y498" s="8"/>
      <c r="Z498" s="8"/>
      <c r="AA498" s="8"/>
      <c r="AB498" s="8"/>
      <c r="AC498" s="8"/>
    </row>
    <row r="499" spans="1:29" ht="28.5" hidden="1" customHeight="1" x14ac:dyDescent="0.2">
      <c r="A499" s="13" t="s">
        <v>9</v>
      </c>
      <c r="B499" s="111"/>
      <c r="C499" s="93" t="s">
        <v>36</v>
      </c>
      <c r="D499" s="40" t="s">
        <v>295</v>
      </c>
      <c r="E499" s="41" t="s">
        <v>374</v>
      </c>
      <c r="F499" s="40"/>
      <c r="G499" s="42" t="s">
        <v>69</v>
      </c>
      <c r="H499" s="43">
        <f>H497*8</f>
        <v>14.16</v>
      </c>
      <c r="I499" s="44"/>
      <c r="J499" s="45"/>
      <c r="K499" s="46"/>
      <c r="L499" s="17"/>
      <c r="M499" s="47"/>
      <c r="N499" s="18"/>
      <c r="O499" s="47"/>
      <c r="P499" s="17"/>
      <c r="Q499" s="47"/>
      <c r="R499" s="18"/>
      <c r="S499" s="48"/>
      <c r="T499" s="49"/>
      <c r="U499" s="48"/>
      <c r="V499" s="49"/>
      <c r="W499" s="29"/>
      <c r="X499" s="89" t="s">
        <v>375</v>
      </c>
      <c r="Y499" s="8"/>
      <c r="Z499" s="8"/>
      <c r="AA499" s="8"/>
      <c r="AB499" s="8"/>
      <c r="AC499" s="8"/>
    </row>
    <row r="500" spans="1:29" s="85" customFormat="1" ht="28.5" customHeight="1" x14ac:dyDescent="0.2">
      <c r="A500" s="70" t="s">
        <v>14</v>
      </c>
      <c r="B500" s="71">
        <v>25</v>
      </c>
      <c r="C500" s="72" t="s">
        <v>36</v>
      </c>
      <c r="D500" s="75" t="s">
        <v>295</v>
      </c>
      <c r="E500" s="74" t="s">
        <v>303</v>
      </c>
      <c r="F500" s="75"/>
      <c r="G500" s="73" t="s">
        <v>69</v>
      </c>
      <c r="H500" s="76">
        <v>6</v>
      </c>
      <c r="I500" s="77"/>
      <c r="J500" s="76"/>
      <c r="K500" s="78"/>
      <c r="L500" s="79"/>
      <c r="M500" s="80"/>
      <c r="N500" s="81"/>
      <c r="O500" s="82"/>
      <c r="P500" s="79"/>
      <c r="Q500" s="80"/>
      <c r="R500" s="81"/>
      <c r="S500" s="80"/>
      <c r="T500" s="83"/>
      <c r="U500" s="84"/>
      <c r="V500" s="83"/>
    </row>
    <row r="501" spans="1:29" s="69" customFormat="1" ht="28.5" customHeight="1" x14ac:dyDescent="0.2">
      <c r="A501" s="66" t="s">
        <v>8</v>
      </c>
      <c r="B501" s="33" t="s">
        <v>401</v>
      </c>
      <c r="C501" s="23" t="s">
        <v>36</v>
      </c>
      <c r="D501" s="23" t="s">
        <v>295</v>
      </c>
      <c r="E501" s="24" t="s">
        <v>366</v>
      </c>
      <c r="F501" s="36"/>
      <c r="G501" s="37" t="s">
        <v>110</v>
      </c>
      <c r="H501" s="38">
        <f>SUM(H502:H506)/1.03</f>
        <v>1.1822005500000001</v>
      </c>
      <c r="I501" s="25"/>
      <c r="J501" s="34"/>
      <c r="K501" s="32"/>
      <c r="L501" s="26"/>
      <c r="M501" s="67"/>
      <c r="N501" s="28"/>
      <c r="O501" s="67"/>
      <c r="P501" s="26"/>
      <c r="Q501" s="67"/>
      <c r="R501" s="28"/>
      <c r="S501" s="27"/>
      <c r="T501" s="28"/>
      <c r="U501" s="27"/>
      <c r="V501" s="28"/>
      <c r="W501" s="68"/>
      <c r="X501" s="88"/>
      <c r="Y501" s="88"/>
      <c r="Z501" s="88"/>
      <c r="AA501" s="88"/>
      <c r="AB501" s="88"/>
      <c r="AC501" s="88"/>
    </row>
    <row r="502" spans="1:29" ht="28.5" hidden="1" customHeight="1" x14ac:dyDescent="0.2">
      <c r="A502" s="13" t="s">
        <v>9</v>
      </c>
      <c r="B502" s="111"/>
      <c r="C502" s="93" t="s">
        <v>36</v>
      </c>
      <c r="D502" s="40" t="s">
        <v>295</v>
      </c>
      <c r="E502" s="41" t="s">
        <v>320</v>
      </c>
      <c r="F502" s="40"/>
      <c r="G502" s="42" t="s">
        <v>110</v>
      </c>
      <c r="H502" s="43">
        <f>(2.04*10.79)*6/1000*1.03</f>
        <v>0.13603168799999998</v>
      </c>
      <c r="I502" s="44"/>
      <c r="J502" s="45"/>
      <c r="K502" s="46"/>
      <c r="L502" s="17"/>
      <c r="M502" s="47"/>
      <c r="N502" s="18"/>
      <c r="O502" s="47"/>
      <c r="P502" s="17"/>
      <c r="Q502" s="47"/>
      <c r="R502" s="18"/>
      <c r="S502" s="48"/>
      <c r="T502" s="49"/>
      <c r="U502" s="48"/>
      <c r="V502" s="49"/>
      <c r="W502" s="29"/>
      <c r="X502" s="89" t="s">
        <v>127</v>
      </c>
      <c r="Y502" s="8"/>
      <c r="Z502" s="8"/>
      <c r="AA502" s="8"/>
      <c r="AB502" s="8"/>
      <c r="AC502" s="8"/>
    </row>
    <row r="503" spans="1:29" ht="28.5" hidden="1" customHeight="1" x14ac:dyDescent="0.2">
      <c r="A503" s="13" t="s">
        <v>9</v>
      </c>
      <c r="B503" s="111"/>
      <c r="C503" s="93" t="s">
        <v>36</v>
      </c>
      <c r="D503" s="40" t="s">
        <v>295</v>
      </c>
      <c r="E503" s="41" t="s">
        <v>321</v>
      </c>
      <c r="F503" s="40"/>
      <c r="G503" s="42" t="s">
        <v>110</v>
      </c>
      <c r="H503" s="43">
        <f>(20.32*6.39)*6/1000*1.03</f>
        <v>0.80244086400000003</v>
      </c>
      <c r="I503" s="44"/>
      <c r="J503" s="45"/>
      <c r="K503" s="46"/>
      <c r="L503" s="17"/>
      <c r="M503" s="47"/>
      <c r="N503" s="18"/>
      <c r="O503" s="47"/>
      <c r="P503" s="17"/>
      <c r="Q503" s="47"/>
      <c r="R503" s="18"/>
      <c r="S503" s="48"/>
      <c r="T503" s="49"/>
      <c r="U503" s="48"/>
      <c r="V503" s="49"/>
      <c r="W503" s="29"/>
      <c r="X503" s="89" t="s">
        <v>127</v>
      </c>
      <c r="Y503" s="8"/>
      <c r="Z503" s="8"/>
      <c r="AA503" s="8"/>
      <c r="AB503" s="8"/>
      <c r="AC503" s="8"/>
    </row>
    <row r="504" spans="1:29" ht="28.5" hidden="1" customHeight="1" x14ac:dyDescent="0.2">
      <c r="A504" s="13" t="s">
        <v>9</v>
      </c>
      <c r="B504" s="111"/>
      <c r="C504" s="93" t="s">
        <v>36</v>
      </c>
      <c r="D504" s="40" t="s">
        <v>295</v>
      </c>
      <c r="E504" s="41" t="s">
        <v>322</v>
      </c>
      <c r="F504" s="40"/>
      <c r="G504" s="42" t="s">
        <v>110</v>
      </c>
      <c r="H504" s="43">
        <f>((1.91*0.3)*4)*6/1000*1.03</f>
        <v>1.416456E-2</v>
      </c>
      <c r="I504" s="44"/>
      <c r="J504" s="45"/>
      <c r="K504" s="46"/>
      <c r="L504" s="17"/>
      <c r="M504" s="47"/>
      <c r="N504" s="18"/>
      <c r="O504" s="47"/>
      <c r="P504" s="17"/>
      <c r="Q504" s="47"/>
      <c r="R504" s="18"/>
      <c r="S504" s="48"/>
      <c r="T504" s="49"/>
      <c r="U504" s="48"/>
      <c r="V504" s="49"/>
      <c r="W504" s="29"/>
      <c r="X504" s="89" t="s">
        <v>127</v>
      </c>
      <c r="Y504" s="8"/>
      <c r="Z504" s="8"/>
      <c r="AA504" s="8"/>
      <c r="AB504" s="8"/>
      <c r="AC504" s="8"/>
    </row>
    <row r="505" spans="1:29" ht="28.5" hidden="1" customHeight="1" x14ac:dyDescent="0.2">
      <c r="A505" s="13" t="s">
        <v>9</v>
      </c>
      <c r="B505" s="111"/>
      <c r="C505" s="93" t="s">
        <v>36</v>
      </c>
      <c r="D505" s="40" t="s">
        <v>295</v>
      </c>
      <c r="E505" s="41" t="s">
        <v>323</v>
      </c>
      <c r="F505" s="40"/>
      <c r="G505" s="42" t="s">
        <v>110</v>
      </c>
      <c r="H505" s="43">
        <f>(2.35*11.68)*6/1000*1.03</f>
        <v>0.16962864</v>
      </c>
      <c r="I505" s="44"/>
      <c r="J505" s="45"/>
      <c r="K505" s="46"/>
      <c r="L505" s="17"/>
      <c r="M505" s="47"/>
      <c r="N505" s="18"/>
      <c r="O505" s="47"/>
      <c r="P505" s="17"/>
      <c r="Q505" s="47"/>
      <c r="R505" s="18"/>
      <c r="S505" s="48"/>
      <c r="T505" s="49"/>
      <c r="U505" s="48"/>
      <c r="V505" s="49"/>
      <c r="W505" s="29"/>
      <c r="X505" s="89" t="s">
        <v>127</v>
      </c>
      <c r="Y505" s="8"/>
      <c r="Z505" s="8"/>
      <c r="AA505" s="8"/>
      <c r="AB505" s="8"/>
      <c r="AC505" s="8"/>
    </row>
    <row r="506" spans="1:29" ht="28.5" hidden="1" customHeight="1" x14ac:dyDescent="0.2">
      <c r="A506" s="13" t="s">
        <v>9</v>
      </c>
      <c r="B506" s="111"/>
      <c r="C506" s="93" t="s">
        <v>36</v>
      </c>
      <c r="D506" s="40" t="s">
        <v>295</v>
      </c>
      <c r="E506" s="41" t="s">
        <v>340</v>
      </c>
      <c r="F506" s="40"/>
      <c r="G506" s="42" t="s">
        <v>110</v>
      </c>
      <c r="H506" s="43">
        <f>((0.69*0.95)*23.55)*6/1000*1.03</f>
        <v>9.54008145E-2</v>
      </c>
      <c r="I506" s="44"/>
      <c r="J506" s="45"/>
      <c r="K506" s="46"/>
      <c r="L506" s="17"/>
      <c r="M506" s="47"/>
      <c r="N506" s="18"/>
      <c r="O506" s="47"/>
      <c r="P506" s="17"/>
      <c r="Q506" s="47"/>
      <c r="R506" s="18"/>
      <c r="S506" s="48"/>
      <c r="T506" s="49"/>
      <c r="U506" s="48"/>
      <c r="V506" s="49"/>
      <c r="W506" s="29"/>
      <c r="X506" s="89" t="s">
        <v>127</v>
      </c>
      <c r="Y506" s="8"/>
      <c r="Z506" s="8"/>
      <c r="AA506" s="8"/>
      <c r="AB506" s="8"/>
      <c r="AC506" s="8"/>
    </row>
    <row r="507" spans="1:29" s="69" customFormat="1" ht="38.25" x14ac:dyDescent="0.2">
      <c r="A507" s="66" t="s">
        <v>8</v>
      </c>
      <c r="B507" s="33" t="s">
        <v>402</v>
      </c>
      <c r="C507" s="23" t="s">
        <v>36</v>
      </c>
      <c r="D507" s="23" t="s">
        <v>295</v>
      </c>
      <c r="E507" s="24" t="s">
        <v>508</v>
      </c>
      <c r="F507" s="36"/>
      <c r="G507" s="37" t="s">
        <v>128</v>
      </c>
      <c r="H507" s="38">
        <f>SUM(H508:H509)/1.15</f>
        <v>2.3940000000000001</v>
      </c>
      <c r="I507" s="25"/>
      <c r="J507" s="34"/>
      <c r="K507" s="32"/>
      <c r="L507" s="26"/>
      <c r="M507" s="67"/>
      <c r="N507" s="28"/>
      <c r="O507" s="67"/>
      <c r="P507" s="26"/>
      <c r="Q507" s="67"/>
      <c r="R507" s="28"/>
      <c r="S507" s="27"/>
      <c r="T507" s="28"/>
      <c r="U507" s="27"/>
      <c r="V507" s="28"/>
      <c r="W507" s="68"/>
      <c r="X507" s="88"/>
      <c r="Y507" s="88"/>
      <c r="Z507" s="88"/>
      <c r="AA507" s="88"/>
      <c r="AB507" s="88"/>
      <c r="AC507" s="88"/>
    </row>
    <row r="508" spans="1:29" ht="28.5" hidden="1" customHeight="1" x14ac:dyDescent="0.2">
      <c r="A508" s="13" t="s">
        <v>9</v>
      </c>
      <c r="B508" s="111"/>
      <c r="C508" s="93" t="s">
        <v>36</v>
      </c>
      <c r="D508" s="40" t="s">
        <v>295</v>
      </c>
      <c r="E508" s="41" t="s">
        <v>325</v>
      </c>
      <c r="F508" s="40"/>
      <c r="G508" s="42" t="s">
        <v>107</v>
      </c>
      <c r="H508" s="43">
        <f>0.203*1.15*6</f>
        <v>1.4007000000000001</v>
      </c>
      <c r="I508" s="44"/>
      <c r="J508" s="45"/>
      <c r="K508" s="46"/>
      <c r="L508" s="17"/>
      <c r="M508" s="47"/>
      <c r="N508" s="18"/>
      <c r="O508" s="47"/>
      <c r="P508" s="17"/>
      <c r="Q508" s="47"/>
      <c r="R508" s="18"/>
      <c r="S508" s="48"/>
      <c r="T508" s="49"/>
      <c r="U508" s="48"/>
      <c r="V508" s="49"/>
      <c r="W508" s="29"/>
      <c r="X508" s="89" t="s">
        <v>170</v>
      </c>
      <c r="Y508" s="8"/>
      <c r="Z508" s="8"/>
      <c r="AA508" s="8"/>
      <c r="AB508" s="8"/>
      <c r="AC508" s="8"/>
    </row>
    <row r="509" spans="1:29" ht="28.5" hidden="1" customHeight="1" x14ac:dyDescent="0.2">
      <c r="A509" s="13" t="s">
        <v>9</v>
      </c>
      <c r="B509" s="111"/>
      <c r="C509" s="93" t="s">
        <v>36</v>
      </c>
      <c r="D509" s="40" t="s">
        <v>295</v>
      </c>
      <c r="E509" s="41" t="s">
        <v>326</v>
      </c>
      <c r="F509" s="40"/>
      <c r="G509" s="42" t="s">
        <v>107</v>
      </c>
      <c r="H509" s="43">
        <f>0.196*1.15*6</f>
        <v>1.3523999999999998</v>
      </c>
      <c r="I509" s="44"/>
      <c r="J509" s="45"/>
      <c r="K509" s="46"/>
      <c r="L509" s="17"/>
      <c r="M509" s="47"/>
      <c r="N509" s="18"/>
      <c r="O509" s="47"/>
      <c r="P509" s="17"/>
      <c r="Q509" s="47"/>
      <c r="R509" s="18"/>
      <c r="S509" s="48"/>
      <c r="T509" s="49"/>
      <c r="U509" s="48"/>
      <c r="V509" s="49"/>
      <c r="W509" s="29"/>
      <c r="X509" s="89" t="s">
        <v>170</v>
      </c>
      <c r="Y509" s="8"/>
      <c r="Z509" s="8"/>
      <c r="AA509" s="8"/>
      <c r="AB509" s="8"/>
      <c r="AC509" s="8"/>
    </row>
    <row r="510" spans="1:29" s="69" customFormat="1" ht="28.5" customHeight="1" x14ac:dyDescent="0.2">
      <c r="A510" s="66" t="s">
        <v>8</v>
      </c>
      <c r="B510" s="33" t="s">
        <v>403</v>
      </c>
      <c r="C510" s="23" t="s">
        <v>36</v>
      </c>
      <c r="D510" s="23" t="s">
        <v>295</v>
      </c>
      <c r="E510" s="24" t="s">
        <v>370</v>
      </c>
      <c r="F510" s="36"/>
      <c r="G510" s="37" t="s">
        <v>119</v>
      </c>
      <c r="H510" s="38">
        <f>H511/1.15</f>
        <v>77.399999999999991</v>
      </c>
      <c r="I510" s="25"/>
      <c r="J510" s="34"/>
      <c r="K510" s="32"/>
      <c r="L510" s="26"/>
      <c r="M510" s="67"/>
      <c r="N510" s="28"/>
      <c r="O510" s="67"/>
      <c r="P510" s="26"/>
      <c r="Q510" s="67"/>
      <c r="R510" s="28"/>
      <c r="S510" s="27"/>
      <c r="T510" s="28"/>
      <c r="U510" s="27"/>
      <c r="V510" s="28"/>
      <c r="W510" s="68"/>
      <c r="X510" s="114" t="s">
        <v>512</v>
      </c>
      <c r="Y510" s="114"/>
      <c r="Z510" s="114"/>
      <c r="AA510" s="88"/>
      <c r="AB510" s="88"/>
      <c r="AC510" s="88"/>
    </row>
    <row r="511" spans="1:29" ht="28.5" hidden="1" customHeight="1" x14ac:dyDescent="0.2">
      <c r="A511" s="13" t="s">
        <v>9</v>
      </c>
      <c r="B511" s="111"/>
      <c r="C511" s="93" t="s">
        <v>36</v>
      </c>
      <c r="D511" s="40" t="s">
        <v>295</v>
      </c>
      <c r="E511" s="41" t="s">
        <v>327</v>
      </c>
      <c r="F511" s="40"/>
      <c r="G511" s="42" t="s">
        <v>113</v>
      </c>
      <c r="H511" s="43">
        <f>12.9*1.15*6</f>
        <v>89.009999999999991</v>
      </c>
      <c r="I511" s="44"/>
      <c r="J511" s="45"/>
      <c r="K511" s="46"/>
      <c r="L511" s="17"/>
      <c r="M511" s="47"/>
      <c r="N511" s="18"/>
      <c r="O511" s="47"/>
      <c r="P511" s="17"/>
      <c r="Q511" s="47"/>
      <c r="R511" s="18"/>
      <c r="S511" s="48"/>
      <c r="T511" s="49"/>
      <c r="U511" s="48"/>
      <c r="V511" s="49"/>
      <c r="W511" s="29"/>
      <c r="X511" s="89" t="s">
        <v>328</v>
      </c>
      <c r="Y511" s="8"/>
      <c r="Z511" s="8"/>
      <c r="AA511" s="8"/>
      <c r="AB511" s="8"/>
      <c r="AC511" s="8"/>
    </row>
    <row r="512" spans="1:29" s="69" customFormat="1" ht="28.5" customHeight="1" x14ac:dyDescent="0.2">
      <c r="A512" s="66" t="s">
        <v>8</v>
      </c>
      <c r="B512" s="33" t="s">
        <v>404</v>
      </c>
      <c r="C512" s="23" t="s">
        <v>36</v>
      </c>
      <c r="D512" s="23" t="s">
        <v>295</v>
      </c>
      <c r="E512" s="24" t="s">
        <v>371</v>
      </c>
      <c r="F512" s="36"/>
      <c r="G512" s="37" t="s">
        <v>193</v>
      </c>
      <c r="H512" s="38">
        <f>H513/1.15</f>
        <v>15.24</v>
      </c>
      <c r="I512" s="25"/>
      <c r="J512" s="34"/>
      <c r="K512" s="32"/>
      <c r="L512" s="26"/>
      <c r="M512" s="67"/>
      <c r="N512" s="28"/>
      <c r="O512" s="67"/>
      <c r="P512" s="26"/>
      <c r="Q512" s="67"/>
      <c r="R512" s="28"/>
      <c r="S512" s="27"/>
      <c r="T512" s="28"/>
      <c r="U512" s="27"/>
      <c r="V512" s="28"/>
      <c r="W512" s="68"/>
      <c r="X512" s="114" t="s">
        <v>510</v>
      </c>
      <c r="Y512" s="114"/>
      <c r="Z512" s="114"/>
      <c r="AA512" s="114"/>
      <c r="AB512" s="114"/>
      <c r="AC512" s="114"/>
    </row>
    <row r="513" spans="1:29" ht="28.5" hidden="1" customHeight="1" x14ac:dyDescent="0.2">
      <c r="A513" s="13" t="s">
        <v>9</v>
      </c>
      <c r="B513" s="111"/>
      <c r="C513" s="93" t="s">
        <v>36</v>
      </c>
      <c r="D513" s="40" t="s">
        <v>295</v>
      </c>
      <c r="E513" s="41" t="s">
        <v>329</v>
      </c>
      <c r="F513" s="40"/>
      <c r="G513" s="42" t="s">
        <v>193</v>
      </c>
      <c r="H513" s="43">
        <f>2.54*1.15*6</f>
        <v>17.526</v>
      </c>
      <c r="I513" s="44"/>
      <c r="J513" s="45"/>
      <c r="K513" s="46"/>
      <c r="L513" s="17"/>
      <c r="M513" s="47"/>
      <c r="N513" s="18"/>
      <c r="O513" s="47"/>
      <c r="P513" s="17"/>
      <c r="Q513" s="47"/>
      <c r="R513" s="18"/>
      <c r="S513" s="48"/>
      <c r="T513" s="49"/>
      <c r="U513" s="48"/>
      <c r="V513" s="49"/>
      <c r="W513" s="29"/>
      <c r="X513" s="89" t="s">
        <v>330</v>
      </c>
      <c r="Y513" s="8"/>
      <c r="Z513" s="8"/>
      <c r="AA513" s="8"/>
      <c r="AB513" s="8"/>
      <c r="AC513" s="8"/>
    </row>
    <row r="514" spans="1:29" ht="28.5" hidden="1" customHeight="1" x14ac:dyDescent="0.2">
      <c r="A514" s="13" t="s">
        <v>9</v>
      </c>
      <c r="B514" s="111"/>
      <c r="C514" s="93" t="s">
        <v>36</v>
      </c>
      <c r="D514" s="40" t="s">
        <v>295</v>
      </c>
      <c r="E514" s="41" t="s">
        <v>191</v>
      </c>
      <c r="F514" s="40"/>
      <c r="G514" s="42" t="s">
        <v>69</v>
      </c>
      <c r="H514" s="112">
        <f>H512/0.2*6</f>
        <v>457.20000000000005</v>
      </c>
      <c r="I514" s="44"/>
      <c r="J514" s="45"/>
      <c r="K514" s="46"/>
      <c r="L514" s="17"/>
      <c r="M514" s="47"/>
      <c r="N514" s="18"/>
      <c r="O514" s="47"/>
      <c r="P514" s="17"/>
      <c r="Q514" s="47"/>
      <c r="R514" s="18"/>
      <c r="S514" s="48"/>
      <c r="T514" s="49"/>
      <c r="U514" s="48"/>
      <c r="V514" s="49"/>
      <c r="W514" s="29"/>
      <c r="X514" s="89" t="s">
        <v>333</v>
      </c>
      <c r="Y514" s="8"/>
      <c r="Z514" s="8"/>
      <c r="AA514" s="8"/>
      <c r="AB514" s="8"/>
      <c r="AC514" s="8"/>
    </row>
    <row r="515" spans="1:29" s="69" customFormat="1" ht="28.5" customHeight="1" x14ac:dyDescent="0.2">
      <c r="A515" s="66" t="s">
        <v>8</v>
      </c>
      <c r="B515" s="33" t="s">
        <v>405</v>
      </c>
      <c r="C515" s="23" t="s">
        <v>36</v>
      </c>
      <c r="D515" s="23" t="s">
        <v>295</v>
      </c>
      <c r="E515" s="24" t="s">
        <v>368</v>
      </c>
      <c r="F515" s="36"/>
      <c r="G515" s="37" t="s">
        <v>128</v>
      </c>
      <c r="H515" s="38">
        <f>H516/1.15</f>
        <v>4.5720000000000001</v>
      </c>
      <c r="I515" s="25"/>
      <c r="J515" s="34"/>
      <c r="K515" s="32"/>
      <c r="L515" s="26"/>
      <c r="M515" s="67"/>
      <c r="N515" s="28"/>
      <c r="O515" s="67"/>
      <c r="P515" s="26"/>
      <c r="Q515" s="67"/>
      <c r="R515" s="28"/>
      <c r="S515" s="27"/>
      <c r="T515" s="28"/>
      <c r="U515" s="27"/>
      <c r="V515" s="28"/>
      <c r="W515" s="68"/>
      <c r="X515" s="88"/>
      <c r="Y515" s="88"/>
      <c r="Z515" s="88"/>
      <c r="AA515" s="88"/>
      <c r="AB515" s="88"/>
      <c r="AC515" s="88"/>
    </row>
    <row r="516" spans="1:29" ht="28.5" hidden="1" customHeight="1" x14ac:dyDescent="0.2">
      <c r="A516" s="13" t="s">
        <v>9</v>
      </c>
      <c r="B516" s="111"/>
      <c r="C516" s="93" t="s">
        <v>36</v>
      </c>
      <c r="D516" s="40" t="s">
        <v>295</v>
      </c>
      <c r="E516" s="41" t="s">
        <v>331</v>
      </c>
      <c r="F516" s="40"/>
      <c r="G516" s="42" t="s">
        <v>107</v>
      </c>
      <c r="H516" s="43">
        <f>7.62*0.1*1.15*6</f>
        <v>5.2577999999999996</v>
      </c>
      <c r="I516" s="44"/>
      <c r="J516" s="45"/>
      <c r="K516" s="46"/>
      <c r="L516" s="17"/>
      <c r="M516" s="47"/>
      <c r="N516" s="18"/>
      <c r="O516" s="47"/>
      <c r="P516" s="17"/>
      <c r="Q516" s="47"/>
      <c r="R516" s="18"/>
      <c r="S516" s="48"/>
      <c r="T516" s="49"/>
      <c r="U516" s="48"/>
      <c r="V516" s="49"/>
      <c r="W516" s="29"/>
      <c r="X516" s="89" t="s">
        <v>330</v>
      </c>
      <c r="Y516" s="8"/>
      <c r="Z516" s="8"/>
      <c r="AA516" s="8"/>
      <c r="AB516" s="8"/>
      <c r="AC516" s="8"/>
    </row>
    <row r="517" spans="1:29" s="69" customFormat="1" ht="28.5" customHeight="1" x14ac:dyDescent="0.2">
      <c r="A517" s="66" t="s">
        <v>8</v>
      </c>
      <c r="B517" s="33" t="s">
        <v>406</v>
      </c>
      <c r="C517" s="23" t="s">
        <v>36</v>
      </c>
      <c r="D517" s="23" t="s">
        <v>295</v>
      </c>
      <c r="E517" s="24" t="s">
        <v>369</v>
      </c>
      <c r="F517" s="36"/>
      <c r="G517" s="37" t="s">
        <v>119</v>
      </c>
      <c r="H517" s="38">
        <f>H518/1.15</f>
        <v>45.720000000000006</v>
      </c>
      <c r="I517" s="25"/>
      <c r="J517" s="34"/>
      <c r="K517" s="32"/>
      <c r="L517" s="26"/>
      <c r="M517" s="67"/>
      <c r="N517" s="28"/>
      <c r="O517" s="67"/>
      <c r="P517" s="26"/>
      <c r="Q517" s="67"/>
      <c r="R517" s="28"/>
      <c r="S517" s="27"/>
      <c r="T517" s="28"/>
      <c r="U517" s="27"/>
      <c r="V517" s="28"/>
      <c r="W517" s="68"/>
      <c r="X517" s="88"/>
      <c r="Y517" s="88"/>
      <c r="Z517" s="88"/>
      <c r="AA517" s="88"/>
      <c r="AB517" s="88"/>
      <c r="AC517" s="88"/>
    </row>
    <row r="518" spans="1:29" ht="28.5" hidden="1" customHeight="1" x14ac:dyDescent="0.2">
      <c r="A518" s="13" t="s">
        <v>9</v>
      </c>
      <c r="B518" s="111"/>
      <c r="C518" s="93" t="s">
        <v>36</v>
      </c>
      <c r="D518" s="40" t="s">
        <v>295</v>
      </c>
      <c r="E518" s="41" t="s">
        <v>332</v>
      </c>
      <c r="F518" s="40"/>
      <c r="G518" s="42" t="s">
        <v>113</v>
      </c>
      <c r="H518" s="43">
        <f>7.62*1.15*6</f>
        <v>52.578000000000003</v>
      </c>
      <c r="I518" s="44"/>
      <c r="J518" s="45"/>
      <c r="K518" s="46"/>
      <c r="L518" s="17"/>
      <c r="M518" s="47"/>
      <c r="N518" s="18"/>
      <c r="O518" s="47"/>
      <c r="P518" s="17"/>
      <c r="Q518" s="47"/>
      <c r="R518" s="18"/>
      <c r="S518" s="48"/>
      <c r="T518" s="49"/>
      <c r="U518" s="48"/>
      <c r="V518" s="49"/>
      <c r="W518" s="29"/>
      <c r="X518" s="89" t="s">
        <v>328</v>
      </c>
      <c r="Y518" s="8"/>
      <c r="Z518" s="8"/>
      <c r="AA518" s="8"/>
      <c r="AB518" s="8"/>
      <c r="AC518" s="8"/>
    </row>
    <row r="519" spans="1:29" s="85" customFormat="1" ht="28.5" customHeight="1" x14ac:dyDescent="0.2">
      <c r="A519" s="70" t="s">
        <v>14</v>
      </c>
      <c r="B519" s="71">
        <v>26</v>
      </c>
      <c r="C519" s="72" t="s">
        <v>36</v>
      </c>
      <c r="D519" s="75" t="s">
        <v>295</v>
      </c>
      <c r="E519" s="74" t="s">
        <v>313</v>
      </c>
      <c r="F519" s="75"/>
      <c r="G519" s="73" t="s">
        <v>69</v>
      </c>
      <c r="H519" s="76">
        <v>6</v>
      </c>
      <c r="I519" s="77"/>
      <c r="J519" s="76"/>
      <c r="K519" s="78"/>
      <c r="L519" s="79"/>
      <c r="M519" s="80"/>
      <c r="N519" s="81"/>
      <c r="O519" s="82"/>
      <c r="P519" s="79"/>
      <c r="Q519" s="80"/>
      <c r="R519" s="81"/>
      <c r="S519" s="80"/>
      <c r="T519" s="83"/>
      <c r="U519" s="84"/>
      <c r="V519" s="83"/>
    </row>
    <row r="520" spans="1:29" s="69" customFormat="1" ht="28.5" customHeight="1" x14ac:dyDescent="0.2">
      <c r="A520" s="66" t="s">
        <v>8</v>
      </c>
      <c r="B520" s="33" t="s">
        <v>407</v>
      </c>
      <c r="C520" s="23" t="s">
        <v>36</v>
      </c>
      <c r="D520" s="23" t="s">
        <v>295</v>
      </c>
      <c r="E520" s="24" t="s">
        <v>367</v>
      </c>
      <c r="F520" s="36"/>
      <c r="G520" s="37" t="s">
        <v>110</v>
      </c>
      <c r="H520" s="38">
        <f>SUM(H521:H525)/1.03</f>
        <v>5.5462799999999993E-2</v>
      </c>
      <c r="I520" s="25"/>
      <c r="J520" s="34"/>
      <c r="K520" s="32"/>
      <c r="L520" s="26"/>
      <c r="M520" s="67"/>
      <c r="N520" s="28"/>
      <c r="O520" s="67"/>
      <c r="P520" s="26"/>
      <c r="Q520" s="67"/>
      <c r="R520" s="28"/>
      <c r="S520" s="27"/>
      <c r="T520" s="28"/>
      <c r="U520" s="27"/>
      <c r="V520" s="28"/>
      <c r="W520" s="68"/>
      <c r="X520" s="88"/>
      <c r="Y520" s="88"/>
      <c r="Z520" s="88"/>
      <c r="AA520" s="88"/>
      <c r="AB520" s="88"/>
      <c r="AC520" s="88"/>
    </row>
    <row r="521" spans="1:29" ht="28.5" hidden="1" customHeight="1" x14ac:dyDescent="0.2">
      <c r="A521" s="13" t="s">
        <v>9</v>
      </c>
      <c r="B521" s="111"/>
      <c r="C521" s="93" t="s">
        <v>36</v>
      </c>
      <c r="D521" s="40" t="s">
        <v>295</v>
      </c>
      <c r="E521" s="41" t="s">
        <v>335</v>
      </c>
      <c r="F521" s="40"/>
      <c r="G521" s="42" t="s">
        <v>110</v>
      </c>
      <c r="H521" s="113">
        <f>((0.94*0.38)*2)*6/1000*1.03</f>
        <v>4.4149919999999995E-3</v>
      </c>
      <c r="I521" s="44"/>
      <c r="J521" s="45"/>
      <c r="K521" s="46"/>
      <c r="L521" s="17"/>
      <c r="M521" s="47"/>
      <c r="N521" s="18"/>
      <c r="O521" s="47"/>
      <c r="P521" s="17"/>
      <c r="Q521" s="47"/>
      <c r="R521" s="18"/>
      <c r="S521" s="48"/>
      <c r="T521" s="49"/>
      <c r="U521" s="48"/>
      <c r="V521" s="49"/>
      <c r="W521" s="29"/>
      <c r="X521" s="89" t="s">
        <v>127</v>
      </c>
      <c r="Y521" s="8"/>
      <c r="Z521" s="8"/>
      <c r="AA521" s="8"/>
      <c r="AB521" s="8"/>
      <c r="AC521" s="8"/>
    </row>
    <row r="522" spans="1:29" ht="28.5" hidden="1" customHeight="1" x14ac:dyDescent="0.2">
      <c r="A522" s="13" t="s">
        <v>9</v>
      </c>
      <c r="B522" s="111"/>
      <c r="C522" s="93" t="s">
        <v>36</v>
      </c>
      <c r="D522" s="40" t="s">
        <v>295</v>
      </c>
      <c r="E522" s="41" t="s">
        <v>336</v>
      </c>
      <c r="F522" s="40"/>
      <c r="G522" s="42" t="s">
        <v>110</v>
      </c>
      <c r="H522" s="113">
        <f>(0.94*0.66)*6/1000*1.03</f>
        <v>3.8340719999999996E-3</v>
      </c>
      <c r="I522" s="44"/>
      <c r="J522" s="45"/>
      <c r="K522" s="46"/>
      <c r="L522" s="17"/>
      <c r="M522" s="47"/>
      <c r="N522" s="18"/>
      <c r="O522" s="47"/>
      <c r="P522" s="17"/>
      <c r="Q522" s="47"/>
      <c r="R522" s="18"/>
      <c r="S522" s="48"/>
      <c r="T522" s="49"/>
      <c r="U522" s="48"/>
      <c r="V522" s="49"/>
      <c r="W522" s="29"/>
      <c r="X522" s="89" t="s">
        <v>127</v>
      </c>
      <c r="Y522" s="8"/>
      <c r="Z522" s="8"/>
      <c r="AA522" s="8"/>
      <c r="AB522" s="8"/>
      <c r="AC522" s="8"/>
    </row>
    <row r="523" spans="1:29" ht="28.5" hidden="1" customHeight="1" x14ac:dyDescent="0.2">
      <c r="A523" s="13" t="s">
        <v>9</v>
      </c>
      <c r="B523" s="111"/>
      <c r="C523" s="93" t="s">
        <v>36</v>
      </c>
      <c r="D523" s="40" t="s">
        <v>295</v>
      </c>
      <c r="E523" s="41" t="s">
        <v>337</v>
      </c>
      <c r="F523" s="40"/>
      <c r="G523" s="42" t="s">
        <v>110</v>
      </c>
      <c r="H523" s="113">
        <f>(0.94*1.54)*6/1000*1.03</f>
        <v>8.9461680000000026E-3</v>
      </c>
      <c r="I523" s="44"/>
      <c r="J523" s="45"/>
      <c r="K523" s="46"/>
      <c r="L523" s="17"/>
      <c r="M523" s="47"/>
      <c r="N523" s="18"/>
      <c r="O523" s="47"/>
      <c r="P523" s="17"/>
      <c r="Q523" s="47"/>
      <c r="R523" s="18"/>
      <c r="S523" s="48"/>
      <c r="T523" s="49"/>
      <c r="U523" s="48"/>
      <c r="V523" s="49"/>
      <c r="W523" s="29"/>
      <c r="X523" s="89" t="s">
        <v>127</v>
      </c>
      <c r="Y523" s="8"/>
      <c r="Z523" s="8"/>
      <c r="AA523" s="8"/>
      <c r="AB523" s="8"/>
      <c r="AC523" s="8"/>
    </row>
    <row r="524" spans="1:29" ht="28.5" hidden="1" customHeight="1" x14ac:dyDescent="0.2">
      <c r="A524" s="13" t="s">
        <v>9</v>
      </c>
      <c r="B524" s="111"/>
      <c r="C524" s="93" t="s">
        <v>36</v>
      </c>
      <c r="D524" s="40" t="s">
        <v>295</v>
      </c>
      <c r="E524" s="41" t="s">
        <v>338</v>
      </c>
      <c r="F524" s="40"/>
      <c r="G524" s="42" t="s">
        <v>110</v>
      </c>
      <c r="H524" s="43">
        <f>(2.2*1.6)*6/1000*1.03</f>
        <v>2.1753600000000005E-2</v>
      </c>
      <c r="I524" s="44"/>
      <c r="J524" s="45"/>
      <c r="K524" s="46"/>
      <c r="L524" s="17"/>
      <c r="M524" s="47"/>
      <c r="N524" s="18"/>
      <c r="O524" s="47"/>
      <c r="P524" s="17"/>
      <c r="Q524" s="47"/>
      <c r="R524" s="18"/>
      <c r="S524" s="48"/>
      <c r="T524" s="49"/>
      <c r="U524" s="48"/>
      <c r="V524" s="49"/>
      <c r="W524" s="29"/>
      <c r="X524" s="89" t="s">
        <v>127</v>
      </c>
      <c r="Y524" s="8"/>
      <c r="Z524" s="8"/>
      <c r="AA524" s="8"/>
      <c r="AB524" s="8"/>
      <c r="AC524" s="8"/>
    </row>
    <row r="525" spans="1:29" ht="28.5" hidden="1" customHeight="1" x14ac:dyDescent="0.2">
      <c r="A525" s="13" t="s">
        <v>9</v>
      </c>
      <c r="B525" s="111"/>
      <c r="C525" s="93" t="s">
        <v>36</v>
      </c>
      <c r="D525" s="40" t="s">
        <v>295</v>
      </c>
      <c r="E525" s="41" t="s">
        <v>345</v>
      </c>
      <c r="F525" s="40"/>
      <c r="G525" s="42" t="s">
        <v>110</v>
      </c>
      <c r="H525" s="43">
        <f>(1.91*1.54)*6/1000*1.03</f>
        <v>1.8177851999999998E-2</v>
      </c>
      <c r="I525" s="44"/>
      <c r="J525" s="45"/>
      <c r="K525" s="46"/>
      <c r="L525" s="17"/>
      <c r="M525" s="47"/>
      <c r="N525" s="18"/>
      <c r="O525" s="47"/>
      <c r="P525" s="17"/>
      <c r="Q525" s="47"/>
      <c r="R525" s="18"/>
      <c r="S525" s="48"/>
      <c r="T525" s="49"/>
      <c r="U525" s="48"/>
      <c r="V525" s="49"/>
      <c r="W525" s="29"/>
      <c r="X525" s="89" t="s">
        <v>127</v>
      </c>
      <c r="Y525" s="8"/>
      <c r="Z525" s="8"/>
      <c r="AA525" s="8"/>
      <c r="AB525" s="8"/>
      <c r="AC525" s="8"/>
    </row>
    <row r="526" spans="1:29" s="69" customFormat="1" ht="28.5" customHeight="1" x14ac:dyDescent="0.2">
      <c r="A526" s="66" t="s">
        <v>8</v>
      </c>
      <c r="B526" s="33" t="s">
        <v>408</v>
      </c>
      <c r="C526" s="23" t="s">
        <v>36</v>
      </c>
      <c r="D526" s="23" t="s">
        <v>295</v>
      </c>
      <c r="E526" s="24" t="s">
        <v>373</v>
      </c>
      <c r="F526" s="36"/>
      <c r="G526" s="37" t="s">
        <v>119</v>
      </c>
      <c r="H526" s="38">
        <f>H527/1.15</f>
        <v>4.08</v>
      </c>
      <c r="I526" s="25"/>
      <c r="J526" s="34"/>
      <c r="K526" s="32"/>
      <c r="L526" s="26"/>
      <c r="M526" s="67"/>
      <c r="N526" s="28"/>
      <c r="O526" s="67"/>
      <c r="P526" s="26"/>
      <c r="Q526" s="67"/>
      <c r="R526" s="28"/>
      <c r="S526" s="27"/>
      <c r="T526" s="28"/>
      <c r="U526" s="27"/>
      <c r="V526" s="28"/>
      <c r="W526" s="68"/>
      <c r="X526" s="88"/>
      <c r="Y526" s="88"/>
      <c r="Z526" s="88"/>
      <c r="AA526" s="88"/>
      <c r="AB526" s="88"/>
      <c r="AC526" s="88"/>
    </row>
    <row r="527" spans="1:29" ht="28.5" hidden="1" customHeight="1" x14ac:dyDescent="0.2">
      <c r="A527" s="13" t="s">
        <v>9</v>
      </c>
      <c r="B527" s="111"/>
      <c r="C527" s="93" t="s">
        <v>36</v>
      </c>
      <c r="D527" s="40" t="s">
        <v>295</v>
      </c>
      <c r="E527" s="41" t="s">
        <v>339</v>
      </c>
      <c r="F527" s="40"/>
      <c r="G527" s="42" t="s">
        <v>113</v>
      </c>
      <c r="H527" s="43">
        <f>0.68*1.15*6</f>
        <v>4.6920000000000002</v>
      </c>
      <c r="I527" s="44"/>
      <c r="J527" s="45"/>
      <c r="K527" s="46"/>
      <c r="L527" s="17"/>
      <c r="M527" s="47"/>
      <c r="N527" s="18"/>
      <c r="O527" s="47"/>
      <c r="P527" s="17"/>
      <c r="Q527" s="47"/>
      <c r="R527" s="18"/>
      <c r="S527" s="48"/>
      <c r="T527" s="49"/>
      <c r="U527" s="48"/>
      <c r="V527" s="49"/>
      <c r="W527" s="29"/>
      <c r="X527" s="89" t="s">
        <v>328</v>
      </c>
      <c r="Y527" s="8"/>
      <c r="Z527" s="8"/>
      <c r="AA527" s="8"/>
      <c r="AB527" s="8"/>
      <c r="AC527" s="8"/>
    </row>
    <row r="528" spans="1:29" ht="28.5" hidden="1" customHeight="1" x14ac:dyDescent="0.2">
      <c r="A528" s="13" t="s">
        <v>9</v>
      </c>
      <c r="B528" s="111"/>
      <c r="C528" s="93" t="s">
        <v>36</v>
      </c>
      <c r="D528" s="40" t="s">
        <v>295</v>
      </c>
      <c r="E528" s="41" t="s">
        <v>374</v>
      </c>
      <c r="F528" s="40"/>
      <c r="G528" s="42" t="s">
        <v>69</v>
      </c>
      <c r="H528" s="43">
        <f>H526*8</f>
        <v>32.64</v>
      </c>
      <c r="I528" s="44"/>
      <c r="J528" s="45"/>
      <c r="K528" s="46"/>
      <c r="L528" s="17"/>
      <c r="M528" s="47"/>
      <c r="N528" s="18"/>
      <c r="O528" s="47"/>
      <c r="P528" s="17"/>
      <c r="Q528" s="47"/>
      <c r="R528" s="18"/>
      <c r="S528" s="48"/>
      <c r="T528" s="49"/>
      <c r="U528" s="48"/>
      <c r="V528" s="49"/>
      <c r="W528" s="29"/>
      <c r="X528" s="89" t="s">
        <v>375</v>
      </c>
      <c r="Y528" s="8"/>
      <c r="Z528" s="8"/>
      <c r="AA528" s="8"/>
      <c r="AB528" s="8"/>
      <c r="AC528" s="8"/>
    </row>
    <row r="529" spans="1:29" s="85" customFormat="1" ht="28.5" customHeight="1" x14ac:dyDescent="0.2">
      <c r="A529" s="70" t="s">
        <v>14</v>
      </c>
      <c r="B529" s="71">
        <v>27</v>
      </c>
      <c r="C529" s="72" t="s">
        <v>36</v>
      </c>
      <c r="D529" s="75" t="s">
        <v>295</v>
      </c>
      <c r="E529" s="74" t="s">
        <v>304</v>
      </c>
      <c r="F529" s="75"/>
      <c r="G529" s="73" t="s">
        <v>69</v>
      </c>
      <c r="H529" s="76">
        <v>3</v>
      </c>
      <c r="I529" s="77"/>
      <c r="J529" s="76"/>
      <c r="K529" s="78"/>
      <c r="L529" s="79"/>
      <c r="M529" s="80"/>
      <c r="N529" s="81"/>
      <c r="O529" s="82"/>
      <c r="P529" s="79"/>
      <c r="Q529" s="80"/>
      <c r="R529" s="81"/>
      <c r="S529" s="80"/>
      <c r="T529" s="83"/>
      <c r="U529" s="84"/>
      <c r="V529" s="83"/>
    </row>
    <row r="530" spans="1:29" s="69" customFormat="1" ht="28.5" customHeight="1" x14ac:dyDescent="0.2">
      <c r="A530" s="66" t="s">
        <v>8</v>
      </c>
      <c r="B530" s="33" t="s">
        <v>409</v>
      </c>
      <c r="C530" s="23" t="s">
        <v>36</v>
      </c>
      <c r="D530" s="23" t="s">
        <v>295</v>
      </c>
      <c r="E530" s="24" t="s">
        <v>366</v>
      </c>
      <c r="F530" s="36"/>
      <c r="G530" s="37" t="s">
        <v>110</v>
      </c>
      <c r="H530" s="38">
        <f>SUM(H531:H535)/1.03</f>
        <v>1.1717473949999999</v>
      </c>
      <c r="I530" s="25"/>
      <c r="J530" s="34"/>
      <c r="K530" s="32"/>
      <c r="L530" s="26"/>
      <c r="M530" s="67"/>
      <c r="N530" s="28"/>
      <c r="O530" s="67"/>
      <c r="P530" s="26"/>
      <c r="Q530" s="67"/>
      <c r="R530" s="28"/>
      <c r="S530" s="27"/>
      <c r="T530" s="28"/>
      <c r="U530" s="27"/>
      <c r="V530" s="28"/>
      <c r="W530" s="68"/>
      <c r="X530" s="88"/>
      <c r="Y530" s="88"/>
      <c r="Z530" s="88"/>
      <c r="AA530" s="88"/>
      <c r="AB530" s="88"/>
      <c r="AC530" s="88"/>
    </row>
    <row r="531" spans="1:29" ht="28.5" hidden="1" customHeight="1" x14ac:dyDescent="0.2">
      <c r="A531" s="13" t="s">
        <v>9</v>
      </c>
      <c r="B531" s="111"/>
      <c r="C531" s="93" t="s">
        <v>36</v>
      </c>
      <c r="D531" s="40" t="s">
        <v>295</v>
      </c>
      <c r="E531" s="41" t="s">
        <v>320</v>
      </c>
      <c r="F531" s="40"/>
      <c r="G531" s="42" t="s">
        <v>110</v>
      </c>
      <c r="H531" s="43">
        <f>(4.2*10.79)*3/1000*1.03</f>
        <v>0.14003262000000002</v>
      </c>
      <c r="I531" s="44"/>
      <c r="J531" s="45"/>
      <c r="K531" s="46"/>
      <c r="L531" s="17"/>
      <c r="M531" s="47"/>
      <c r="N531" s="18"/>
      <c r="O531" s="47"/>
      <c r="P531" s="17"/>
      <c r="Q531" s="47"/>
      <c r="R531" s="18"/>
      <c r="S531" s="48"/>
      <c r="T531" s="49"/>
      <c r="U531" s="48"/>
      <c r="V531" s="49"/>
      <c r="W531" s="29"/>
      <c r="X531" s="89" t="s">
        <v>127</v>
      </c>
      <c r="Y531" s="8"/>
      <c r="Z531" s="8"/>
      <c r="AA531" s="8"/>
      <c r="AB531" s="8"/>
      <c r="AC531" s="8"/>
    </row>
    <row r="532" spans="1:29" ht="28.5" hidden="1" customHeight="1" x14ac:dyDescent="0.2">
      <c r="A532" s="13" t="s">
        <v>9</v>
      </c>
      <c r="B532" s="111"/>
      <c r="C532" s="93" t="s">
        <v>36</v>
      </c>
      <c r="D532" s="40" t="s">
        <v>295</v>
      </c>
      <c r="E532" s="41" t="s">
        <v>321</v>
      </c>
      <c r="F532" s="40"/>
      <c r="G532" s="42" t="s">
        <v>110</v>
      </c>
      <c r="H532" s="43">
        <f>(36.4*6.39)*3/1000*1.03</f>
        <v>0.71872163999999983</v>
      </c>
      <c r="I532" s="44"/>
      <c r="J532" s="45"/>
      <c r="K532" s="46"/>
      <c r="L532" s="17"/>
      <c r="M532" s="47"/>
      <c r="N532" s="18"/>
      <c r="O532" s="47"/>
      <c r="P532" s="17"/>
      <c r="Q532" s="47"/>
      <c r="R532" s="18"/>
      <c r="S532" s="48"/>
      <c r="T532" s="49"/>
      <c r="U532" s="48"/>
      <c r="V532" s="49"/>
      <c r="W532" s="29"/>
      <c r="X532" s="89" t="s">
        <v>127</v>
      </c>
      <c r="Y532" s="8"/>
      <c r="Z532" s="8"/>
      <c r="AA532" s="8"/>
      <c r="AB532" s="8"/>
      <c r="AC532" s="8"/>
    </row>
    <row r="533" spans="1:29" ht="28.5" hidden="1" customHeight="1" x14ac:dyDescent="0.2">
      <c r="A533" s="13" t="s">
        <v>9</v>
      </c>
      <c r="B533" s="111"/>
      <c r="C533" s="93" t="s">
        <v>36</v>
      </c>
      <c r="D533" s="40" t="s">
        <v>295</v>
      </c>
      <c r="E533" s="41" t="s">
        <v>322</v>
      </c>
      <c r="F533" s="40"/>
      <c r="G533" s="42" t="s">
        <v>110</v>
      </c>
      <c r="H533" s="43">
        <f>((1.91*0.3)*8)*3/1000*1.03</f>
        <v>1.416456E-2</v>
      </c>
      <c r="I533" s="44"/>
      <c r="J533" s="45"/>
      <c r="K533" s="46"/>
      <c r="L533" s="17"/>
      <c r="M533" s="47"/>
      <c r="N533" s="18"/>
      <c r="O533" s="47"/>
      <c r="P533" s="17"/>
      <c r="Q533" s="47"/>
      <c r="R533" s="18"/>
      <c r="S533" s="48"/>
      <c r="T533" s="49"/>
      <c r="U533" s="48"/>
      <c r="V533" s="49"/>
      <c r="W533" s="29"/>
      <c r="X533" s="89" t="s">
        <v>127</v>
      </c>
      <c r="Y533" s="8"/>
      <c r="Z533" s="8"/>
      <c r="AA533" s="8"/>
      <c r="AB533" s="8"/>
      <c r="AC533" s="8"/>
    </row>
    <row r="534" spans="1:29" ht="28.5" hidden="1" customHeight="1" x14ac:dyDescent="0.2">
      <c r="A534" s="13" t="s">
        <v>9</v>
      </c>
      <c r="B534" s="111"/>
      <c r="C534" s="93" t="s">
        <v>36</v>
      </c>
      <c r="D534" s="40" t="s">
        <v>295</v>
      </c>
      <c r="E534" s="41" t="s">
        <v>323</v>
      </c>
      <c r="F534" s="40"/>
      <c r="G534" s="42" t="s">
        <v>110</v>
      </c>
      <c r="H534" s="43">
        <f>(2.35*31.68)*3/1000*1.03</f>
        <v>0.23004432000000002</v>
      </c>
      <c r="I534" s="44"/>
      <c r="J534" s="45"/>
      <c r="K534" s="46"/>
      <c r="L534" s="17"/>
      <c r="M534" s="47"/>
      <c r="N534" s="18"/>
      <c r="O534" s="47"/>
      <c r="P534" s="17"/>
      <c r="Q534" s="47"/>
      <c r="R534" s="18"/>
      <c r="S534" s="48"/>
      <c r="T534" s="49"/>
      <c r="U534" s="48"/>
      <c r="V534" s="49"/>
      <c r="W534" s="29"/>
      <c r="X534" s="89" t="s">
        <v>127</v>
      </c>
      <c r="Y534" s="8"/>
      <c r="Z534" s="8"/>
      <c r="AA534" s="8"/>
      <c r="AB534" s="8"/>
      <c r="AC534" s="8"/>
    </row>
    <row r="535" spans="1:29" ht="28.5" hidden="1" customHeight="1" x14ac:dyDescent="0.2">
      <c r="A535" s="13" t="s">
        <v>9</v>
      </c>
      <c r="B535" s="111"/>
      <c r="C535" s="93" t="s">
        <v>36</v>
      </c>
      <c r="D535" s="40" t="s">
        <v>295</v>
      </c>
      <c r="E535" s="41" t="s">
        <v>342</v>
      </c>
      <c r="F535" s="40"/>
      <c r="G535" s="42" t="s">
        <v>110</v>
      </c>
      <c r="H535" s="43">
        <f>((0.69*2.07)*23.55)*3/1000*1.03</f>
        <v>0.10393667684999999</v>
      </c>
      <c r="I535" s="44"/>
      <c r="J535" s="45"/>
      <c r="K535" s="46"/>
      <c r="L535" s="17"/>
      <c r="M535" s="47"/>
      <c r="N535" s="18"/>
      <c r="O535" s="47"/>
      <c r="P535" s="17"/>
      <c r="Q535" s="47"/>
      <c r="R535" s="18"/>
      <c r="S535" s="48"/>
      <c r="T535" s="49"/>
      <c r="U535" s="48"/>
      <c r="V535" s="49"/>
      <c r="W535" s="29"/>
      <c r="X535" s="89" t="s">
        <v>127</v>
      </c>
      <c r="Y535" s="8"/>
      <c r="Z535" s="8"/>
      <c r="AA535" s="8"/>
      <c r="AB535" s="8"/>
      <c r="AC535" s="8"/>
    </row>
    <row r="536" spans="1:29" s="69" customFormat="1" ht="38.25" x14ac:dyDescent="0.2">
      <c r="A536" s="66" t="s">
        <v>8</v>
      </c>
      <c r="B536" s="33" t="s">
        <v>410</v>
      </c>
      <c r="C536" s="23" t="s">
        <v>36</v>
      </c>
      <c r="D536" s="23" t="s">
        <v>295</v>
      </c>
      <c r="E536" s="24" t="s">
        <v>508</v>
      </c>
      <c r="F536" s="36"/>
      <c r="G536" s="37" t="s">
        <v>128</v>
      </c>
      <c r="H536" s="38">
        <f>SUM(H537:H538)/1.15</f>
        <v>2.0669999999999997</v>
      </c>
      <c r="I536" s="25"/>
      <c r="J536" s="34"/>
      <c r="K536" s="32"/>
      <c r="L536" s="26"/>
      <c r="M536" s="67"/>
      <c r="N536" s="28"/>
      <c r="O536" s="67"/>
      <c r="P536" s="26"/>
      <c r="Q536" s="67"/>
      <c r="R536" s="28"/>
      <c r="S536" s="27"/>
      <c r="T536" s="28"/>
      <c r="U536" s="27"/>
      <c r="V536" s="28"/>
      <c r="W536" s="68"/>
      <c r="X536" s="88"/>
      <c r="Y536" s="88"/>
      <c r="Z536" s="88"/>
      <c r="AA536" s="88"/>
      <c r="AB536" s="88"/>
      <c r="AC536" s="88"/>
    </row>
    <row r="537" spans="1:29" ht="28.5" hidden="1" customHeight="1" x14ac:dyDescent="0.2">
      <c r="A537" s="13" t="s">
        <v>9</v>
      </c>
      <c r="B537" s="111"/>
      <c r="C537" s="93" t="s">
        <v>36</v>
      </c>
      <c r="D537" s="40" t="s">
        <v>295</v>
      </c>
      <c r="E537" s="41" t="s">
        <v>325</v>
      </c>
      <c r="F537" s="40"/>
      <c r="G537" s="42" t="s">
        <v>107</v>
      </c>
      <c r="H537" s="43">
        <f>0.364*1.15*3</f>
        <v>1.2557999999999998</v>
      </c>
      <c r="I537" s="44"/>
      <c r="J537" s="45"/>
      <c r="K537" s="46"/>
      <c r="L537" s="17"/>
      <c r="M537" s="47"/>
      <c r="N537" s="18"/>
      <c r="O537" s="47"/>
      <c r="P537" s="17"/>
      <c r="Q537" s="47"/>
      <c r="R537" s="18"/>
      <c r="S537" s="48"/>
      <c r="T537" s="49"/>
      <c r="U537" s="48"/>
      <c r="V537" s="49"/>
      <c r="W537" s="29"/>
      <c r="X537" s="89" t="s">
        <v>170</v>
      </c>
      <c r="Y537" s="8"/>
      <c r="Z537" s="8"/>
      <c r="AA537" s="8"/>
      <c r="AB537" s="8"/>
      <c r="AC537" s="8"/>
    </row>
    <row r="538" spans="1:29" ht="28.5" hidden="1" customHeight="1" x14ac:dyDescent="0.2">
      <c r="A538" s="13" t="s">
        <v>9</v>
      </c>
      <c r="B538" s="111"/>
      <c r="C538" s="93" t="s">
        <v>36</v>
      </c>
      <c r="D538" s="40" t="s">
        <v>295</v>
      </c>
      <c r="E538" s="41" t="s">
        <v>326</v>
      </c>
      <c r="F538" s="40"/>
      <c r="G538" s="42" t="s">
        <v>107</v>
      </c>
      <c r="H538" s="43">
        <f>0.325*1.15*3</f>
        <v>1.1212499999999999</v>
      </c>
      <c r="I538" s="44"/>
      <c r="J538" s="45"/>
      <c r="K538" s="46"/>
      <c r="L538" s="17"/>
      <c r="M538" s="47"/>
      <c r="N538" s="18"/>
      <c r="O538" s="47"/>
      <c r="P538" s="17"/>
      <c r="Q538" s="47"/>
      <c r="R538" s="18"/>
      <c r="S538" s="48"/>
      <c r="T538" s="49"/>
      <c r="U538" s="48"/>
      <c r="V538" s="49"/>
      <c r="W538" s="29"/>
      <c r="X538" s="89" t="s">
        <v>170</v>
      </c>
      <c r="Y538" s="8"/>
      <c r="Z538" s="8"/>
      <c r="AA538" s="8"/>
      <c r="AB538" s="8"/>
      <c r="AC538" s="8"/>
    </row>
    <row r="539" spans="1:29" s="69" customFormat="1" ht="28.5" customHeight="1" x14ac:dyDescent="0.2">
      <c r="A539" s="66" t="s">
        <v>8</v>
      </c>
      <c r="B539" s="33" t="s">
        <v>411</v>
      </c>
      <c r="C539" s="23" t="s">
        <v>36</v>
      </c>
      <c r="D539" s="23" t="s">
        <v>295</v>
      </c>
      <c r="E539" s="24" t="s">
        <v>370</v>
      </c>
      <c r="F539" s="36"/>
      <c r="G539" s="37" t="s">
        <v>119</v>
      </c>
      <c r="H539" s="38">
        <f>H540/1.15</f>
        <v>64.98</v>
      </c>
      <c r="I539" s="25"/>
      <c r="J539" s="34"/>
      <c r="K539" s="32"/>
      <c r="L539" s="26"/>
      <c r="M539" s="67"/>
      <c r="N539" s="28"/>
      <c r="O539" s="67"/>
      <c r="P539" s="26"/>
      <c r="Q539" s="67"/>
      <c r="R539" s="28"/>
      <c r="S539" s="27"/>
      <c r="T539" s="28"/>
      <c r="U539" s="27"/>
      <c r="V539" s="28"/>
      <c r="W539" s="68"/>
      <c r="X539" s="114" t="s">
        <v>512</v>
      </c>
      <c r="Y539" s="114"/>
      <c r="Z539" s="114"/>
      <c r="AA539" s="88"/>
      <c r="AB539" s="88"/>
      <c r="AC539" s="88"/>
    </row>
    <row r="540" spans="1:29" ht="28.5" hidden="1" customHeight="1" x14ac:dyDescent="0.2">
      <c r="A540" s="13" t="s">
        <v>9</v>
      </c>
      <c r="B540" s="111"/>
      <c r="C540" s="93" t="s">
        <v>36</v>
      </c>
      <c r="D540" s="40" t="s">
        <v>295</v>
      </c>
      <c r="E540" s="41" t="s">
        <v>327</v>
      </c>
      <c r="F540" s="40"/>
      <c r="G540" s="42" t="s">
        <v>113</v>
      </c>
      <c r="H540" s="43">
        <f>21.66*1.15*3</f>
        <v>74.727000000000004</v>
      </c>
      <c r="I540" s="44"/>
      <c r="J540" s="45"/>
      <c r="K540" s="46"/>
      <c r="L540" s="17"/>
      <c r="M540" s="47"/>
      <c r="N540" s="18"/>
      <c r="O540" s="47"/>
      <c r="P540" s="17"/>
      <c r="Q540" s="47"/>
      <c r="R540" s="18"/>
      <c r="S540" s="48"/>
      <c r="T540" s="49"/>
      <c r="U540" s="48"/>
      <c r="V540" s="49"/>
      <c r="W540" s="29"/>
      <c r="X540" s="89" t="s">
        <v>328</v>
      </c>
      <c r="Y540" s="8"/>
      <c r="Z540" s="8"/>
      <c r="AA540" s="8"/>
      <c r="AB540" s="8"/>
      <c r="AC540" s="8"/>
    </row>
    <row r="541" spans="1:29" s="69" customFormat="1" ht="28.5" customHeight="1" x14ac:dyDescent="0.2">
      <c r="A541" s="66" t="s">
        <v>8</v>
      </c>
      <c r="B541" s="33" t="s">
        <v>412</v>
      </c>
      <c r="C541" s="23" t="s">
        <v>36</v>
      </c>
      <c r="D541" s="23" t="s">
        <v>295</v>
      </c>
      <c r="E541" s="24" t="s">
        <v>371</v>
      </c>
      <c r="F541" s="36"/>
      <c r="G541" s="37" t="s">
        <v>193</v>
      </c>
      <c r="H541" s="38">
        <f>H542/1.15</f>
        <v>14.28</v>
      </c>
      <c r="I541" s="25"/>
      <c r="J541" s="34"/>
      <c r="K541" s="32"/>
      <c r="L541" s="26"/>
      <c r="M541" s="67"/>
      <c r="N541" s="28"/>
      <c r="O541" s="67"/>
      <c r="P541" s="26"/>
      <c r="Q541" s="67"/>
      <c r="R541" s="28"/>
      <c r="S541" s="27"/>
      <c r="T541" s="28"/>
      <c r="U541" s="27"/>
      <c r="V541" s="28"/>
      <c r="W541" s="68"/>
      <c r="X541" s="114" t="s">
        <v>510</v>
      </c>
      <c r="Y541" s="114"/>
      <c r="Z541" s="114"/>
      <c r="AA541" s="114"/>
      <c r="AB541" s="114"/>
      <c r="AC541" s="114"/>
    </row>
    <row r="542" spans="1:29" ht="28.5" hidden="1" customHeight="1" x14ac:dyDescent="0.2">
      <c r="A542" s="13" t="s">
        <v>9</v>
      </c>
      <c r="B542" s="111"/>
      <c r="C542" s="93" t="s">
        <v>36</v>
      </c>
      <c r="D542" s="40" t="s">
        <v>295</v>
      </c>
      <c r="E542" s="41" t="s">
        <v>329</v>
      </c>
      <c r="F542" s="40"/>
      <c r="G542" s="42" t="s">
        <v>193</v>
      </c>
      <c r="H542" s="43">
        <f>4.76*1.15*3</f>
        <v>16.421999999999997</v>
      </c>
      <c r="I542" s="44"/>
      <c r="J542" s="45"/>
      <c r="K542" s="46"/>
      <c r="L542" s="17"/>
      <c r="M542" s="47"/>
      <c r="N542" s="18"/>
      <c r="O542" s="47"/>
      <c r="P542" s="17"/>
      <c r="Q542" s="47"/>
      <c r="R542" s="18"/>
      <c r="S542" s="48"/>
      <c r="T542" s="49"/>
      <c r="U542" s="48"/>
      <c r="V542" s="49"/>
      <c r="W542" s="29"/>
      <c r="X542" s="89" t="s">
        <v>330</v>
      </c>
      <c r="Y542" s="8"/>
      <c r="Z542" s="8"/>
      <c r="AA542" s="8"/>
      <c r="AB542" s="8"/>
      <c r="AC542" s="8"/>
    </row>
    <row r="543" spans="1:29" ht="28.5" hidden="1" customHeight="1" x14ac:dyDescent="0.2">
      <c r="A543" s="13" t="s">
        <v>9</v>
      </c>
      <c r="B543" s="111"/>
      <c r="C543" s="93" t="s">
        <v>36</v>
      </c>
      <c r="D543" s="40" t="s">
        <v>295</v>
      </c>
      <c r="E543" s="41" t="s">
        <v>191</v>
      </c>
      <c r="F543" s="40"/>
      <c r="G543" s="42" t="s">
        <v>69</v>
      </c>
      <c r="H543" s="112">
        <f>H541/0.2*3</f>
        <v>214.2</v>
      </c>
      <c r="I543" s="44"/>
      <c r="J543" s="45"/>
      <c r="K543" s="46"/>
      <c r="L543" s="17"/>
      <c r="M543" s="47"/>
      <c r="N543" s="18"/>
      <c r="O543" s="47"/>
      <c r="P543" s="17"/>
      <c r="Q543" s="47"/>
      <c r="R543" s="18"/>
      <c r="S543" s="48"/>
      <c r="T543" s="49"/>
      <c r="U543" s="48"/>
      <c r="V543" s="49"/>
      <c r="W543" s="29"/>
      <c r="X543" s="89" t="s">
        <v>333</v>
      </c>
      <c r="Y543" s="8"/>
      <c r="Z543" s="8"/>
      <c r="AA543" s="8"/>
      <c r="AB543" s="8"/>
      <c r="AC543" s="8"/>
    </row>
    <row r="544" spans="1:29" s="69" customFormat="1" ht="28.5" customHeight="1" x14ac:dyDescent="0.2">
      <c r="A544" s="66" t="s">
        <v>8</v>
      </c>
      <c r="B544" s="33" t="s">
        <v>413</v>
      </c>
      <c r="C544" s="23" t="s">
        <v>36</v>
      </c>
      <c r="D544" s="23" t="s">
        <v>295</v>
      </c>
      <c r="E544" s="24" t="s">
        <v>368</v>
      </c>
      <c r="F544" s="36"/>
      <c r="G544" s="37" t="s">
        <v>128</v>
      </c>
      <c r="H544" s="38">
        <f>H545/1.15</f>
        <v>4.5329999999999995</v>
      </c>
      <c r="I544" s="25"/>
      <c r="J544" s="34"/>
      <c r="K544" s="32"/>
      <c r="L544" s="26"/>
      <c r="M544" s="67"/>
      <c r="N544" s="28"/>
      <c r="O544" s="67"/>
      <c r="P544" s="26"/>
      <c r="Q544" s="67"/>
      <c r="R544" s="28"/>
      <c r="S544" s="27"/>
      <c r="T544" s="28"/>
      <c r="U544" s="27"/>
      <c r="V544" s="28"/>
      <c r="W544" s="68"/>
      <c r="X544" s="88"/>
      <c r="Y544" s="88"/>
      <c r="Z544" s="88"/>
      <c r="AA544" s="88"/>
      <c r="AB544" s="88"/>
      <c r="AC544" s="88"/>
    </row>
    <row r="545" spans="1:29" ht="28.5" hidden="1" customHeight="1" x14ac:dyDescent="0.2">
      <c r="A545" s="13" t="s">
        <v>9</v>
      </c>
      <c r="B545" s="111"/>
      <c r="C545" s="93" t="s">
        <v>36</v>
      </c>
      <c r="D545" s="40" t="s">
        <v>295</v>
      </c>
      <c r="E545" s="41" t="s">
        <v>331</v>
      </c>
      <c r="F545" s="40"/>
      <c r="G545" s="42" t="s">
        <v>107</v>
      </c>
      <c r="H545" s="43">
        <f>15.11*0.1*1.15*3</f>
        <v>5.2129499999999993</v>
      </c>
      <c r="I545" s="44"/>
      <c r="J545" s="45"/>
      <c r="K545" s="46"/>
      <c r="L545" s="17"/>
      <c r="M545" s="47"/>
      <c r="N545" s="18"/>
      <c r="O545" s="47"/>
      <c r="P545" s="17"/>
      <c r="Q545" s="47"/>
      <c r="R545" s="18"/>
      <c r="S545" s="48"/>
      <c r="T545" s="49"/>
      <c r="U545" s="48"/>
      <c r="V545" s="49"/>
      <c r="W545" s="29"/>
      <c r="X545" s="89" t="s">
        <v>330</v>
      </c>
      <c r="Y545" s="8"/>
      <c r="Z545" s="8"/>
      <c r="AA545" s="8"/>
      <c r="AB545" s="8"/>
      <c r="AC545" s="8"/>
    </row>
    <row r="546" spans="1:29" s="69" customFormat="1" ht="28.5" customHeight="1" x14ac:dyDescent="0.2">
      <c r="A546" s="66" t="s">
        <v>8</v>
      </c>
      <c r="B546" s="33" t="s">
        <v>414</v>
      </c>
      <c r="C546" s="23" t="s">
        <v>36</v>
      </c>
      <c r="D546" s="23" t="s">
        <v>295</v>
      </c>
      <c r="E546" s="24" t="s">
        <v>369</v>
      </c>
      <c r="F546" s="36"/>
      <c r="G546" s="37" t="s">
        <v>119</v>
      </c>
      <c r="H546" s="38">
        <f>H547/1.15</f>
        <v>45.33</v>
      </c>
      <c r="I546" s="25"/>
      <c r="J546" s="34"/>
      <c r="K546" s="32"/>
      <c r="L546" s="26"/>
      <c r="M546" s="67"/>
      <c r="N546" s="28"/>
      <c r="O546" s="67"/>
      <c r="P546" s="26"/>
      <c r="Q546" s="67"/>
      <c r="R546" s="28"/>
      <c r="S546" s="27"/>
      <c r="T546" s="28"/>
      <c r="U546" s="27"/>
      <c r="V546" s="28"/>
      <c r="W546" s="68"/>
      <c r="X546" s="88"/>
      <c r="Y546" s="88"/>
      <c r="Z546" s="88"/>
      <c r="AA546" s="88"/>
      <c r="AB546" s="88"/>
      <c r="AC546" s="88"/>
    </row>
    <row r="547" spans="1:29" ht="28.5" hidden="1" customHeight="1" x14ac:dyDescent="0.2">
      <c r="A547" s="13" t="s">
        <v>9</v>
      </c>
      <c r="B547" s="111"/>
      <c r="C547" s="93" t="s">
        <v>36</v>
      </c>
      <c r="D547" s="40" t="s">
        <v>295</v>
      </c>
      <c r="E547" s="41" t="s">
        <v>332</v>
      </c>
      <c r="F547" s="40"/>
      <c r="G547" s="42" t="s">
        <v>113</v>
      </c>
      <c r="H547" s="43">
        <f>15.11*1.15*3</f>
        <v>52.129499999999993</v>
      </c>
      <c r="I547" s="44"/>
      <c r="J547" s="45"/>
      <c r="K547" s="46"/>
      <c r="L547" s="17"/>
      <c r="M547" s="47"/>
      <c r="N547" s="18"/>
      <c r="O547" s="47"/>
      <c r="P547" s="17"/>
      <c r="Q547" s="47"/>
      <c r="R547" s="18"/>
      <c r="S547" s="48"/>
      <c r="T547" s="49"/>
      <c r="U547" s="48"/>
      <c r="V547" s="49"/>
      <c r="W547" s="29"/>
      <c r="X547" s="89" t="s">
        <v>328</v>
      </c>
      <c r="Y547" s="8"/>
      <c r="Z547" s="8"/>
      <c r="AA547" s="8"/>
      <c r="AB547" s="8"/>
      <c r="AC547" s="8"/>
    </row>
    <row r="548" spans="1:29" s="85" customFormat="1" ht="28.5" customHeight="1" x14ac:dyDescent="0.2">
      <c r="A548" s="70" t="s">
        <v>14</v>
      </c>
      <c r="B548" s="71">
        <v>28</v>
      </c>
      <c r="C548" s="72" t="s">
        <v>36</v>
      </c>
      <c r="D548" s="75" t="s">
        <v>295</v>
      </c>
      <c r="E548" s="74" t="s">
        <v>314</v>
      </c>
      <c r="F548" s="75"/>
      <c r="G548" s="73" t="s">
        <v>69</v>
      </c>
      <c r="H548" s="76">
        <v>3</v>
      </c>
      <c r="I548" s="77"/>
      <c r="J548" s="76"/>
      <c r="K548" s="78"/>
      <c r="L548" s="79"/>
      <c r="M548" s="80"/>
      <c r="N548" s="81"/>
      <c r="O548" s="82"/>
      <c r="P548" s="79"/>
      <c r="Q548" s="80"/>
      <c r="R548" s="81"/>
      <c r="S548" s="80"/>
      <c r="T548" s="83"/>
      <c r="U548" s="84"/>
      <c r="V548" s="83"/>
    </row>
    <row r="549" spans="1:29" s="69" customFormat="1" ht="28.5" customHeight="1" x14ac:dyDescent="0.2">
      <c r="A549" s="66" t="s">
        <v>8</v>
      </c>
      <c r="B549" s="33" t="s">
        <v>415</v>
      </c>
      <c r="C549" s="23" t="s">
        <v>36</v>
      </c>
      <c r="D549" s="23" t="s">
        <v>295</v>
      </c>
      <c r="E549" s="24" t="s">
        <v>367</v>
      </c>
      <c r="F549" s="36"/>
      <c r="G549" s="37" t="s">
        <v>110</v>
      </c>
      <c r="H549" s="38">
        <f>SUM(H550:H554)/1.03</f>
        <v>7.7671199999999996E-2</v>
      </c>
      <c r="I549" s="25"/>
      <c r="J549" s="34"/>
      <c r="K549" s="32"/>
      <c r="L549" s="26"/>
      <c r="M549" s="67"/>
      <c r="N549" s="28"/>
      <c r="O549" s="67"/>
      <c r="P549" s="26"/>
      <c r="Q549" s="67"/>
      <c r="R549" s="28"/>
      <c r="S549" s="27"/>
      <c r="T549" s="28"/>
      <c r="U549" s="27"/>
      <c r="V549" s="28"/>
      <c r="W549" s="68"/>
      <c r="X549" s="88"/>
      <c r="Y549" s="88"/>
      <c r="Z549" s="88"/>
      <c r="AA549" s="88"/>
      <c r="AB549" s="88"/>
      <c r="AC549" s="88"/>
    </row>
    <row r="550" spans="1:29" ht="28.5" hidden="1" customHeight="1" x14ac:dyDescent="0.2">
      <c r="A550" s="13" t="s">
        <v>9</v>
      </c>
      <c r="B550" s="111"/>
      <c r="C550" s="93" t="s">
        <v>36</v>
      </c>
      <c r="D550" s="40" t="s">
        <v>295</v>
      </c>
      <c r="E550" s="41" t="s">
        <v>335</v>
      </c>
      <c r="F550" s="40"/>
      <c r="G550" s="42" t="s">
        <v>110</v>
      </c>
      <c r="H550" s="113">
        <f>((0.94*0.38)*4)*3/1000*1.03</f>
        <v>4.4149919999999995E-3</v>
      </c>
      <c r="I550" s="44"/>
      <c r="J550" s="45"/>
      <c r="K550" s="46"/>
      <c r="L550" s="17"/>
      <c r="M550" s="47"/>
      <c r="N550" s="18"/>
      <c r="O550" s="47"/>
      <c r="P550" s="17"/>
      <c r="Q550" s="47"/>
      <c r="R550" s="18"/>
      <c r="S550" s="48"/>
      <c r="T550" s="49"/>
      <c r="U550" s="48"/>
      <c r="V550" s="49"/>
      <c r="W550" s="29"/>
      <c r="X550" s="89" t="s">
        <v>127</v>
      </c>
      <c r="Y550" s="8"/>
      <c r="Z550" s="8"/>
      <c r="AA550" s="8"/>
      <c r="AB550" s="8"/>
      <c r="AC550" s="8"/>
    </row>
    <row r="551" spans="1:29" ht="28.5" hidden="1" customHeight="1" x14ac:dyDescent="0.2">
      <c r="A551" s="13" t="s">
        <v>9</v>
      </c>
      <c r="B551" s="111"/>
      <c r="C551" s="93" t="s">
        <v>36</v>
      </c>
      <c r="D551" s="40" t="s">
        <v>295</v>
      </c>
      <c r="E551" s="41" t="s">
        <v>336</v>
      </c>
      <c r="F551" s="40"/>
      <c r="G551" s="42" t="s">
        <v>110</v>
      </c>
      <c r="H551" s="113">
        <f>(0.94*2.64)*3/1000*1.03</f>
        <v>7.6681439999999991E-3</v>
      </c>
      <c r="I551" s="44"/>
      <c r="J551" s="45"/>
      <c r="K551" s="46"/>
      <c r="L551" s="17"/>
      <c r="M551" s="47"/>
      <c r="N551" s="18"/>
      <c r="O551" s="47"/>
      <c r="P551" s="17"/>
      <c r="Q551" s="47"/>
      <c r="R551" s="18"/>
      <c r="S551" s="48"/>
      <c r="T551" s="49"/>
      <c r="U551" s="48"/>
      <c r="V551" s="49"/>
      <c r="W551" s="29"/>
      <c r="X551" s="89" t="s">
        <v>127</v>
      </c>
      <c r="Y551" s="8"/>
      <c r="Z551" s="8"/>
      <c r="AA551" s="8"/>
      <c r="AB551" s="8"/>
      <c r="AC551" s="8"/>
    </row>
    <row r="552" spans="1:29" ht="28.5" hidden="1" customHeight="1" x14ac:dyDescent="0.2">
      <c r="A552" s="13" t="s">
        <v>9</v>
      </c>
      <c r="B552" s="111"/>
      <c r="C552" s="93" t="s">
        <v>36</v>
      </c>
      <c r="D552" s="40" t="s">
        <v>295</v>
      </c>
      <c r="E552" s="41" t="s">
        <v>337</v>
      </c>
      <c r="F552" s="40"/>
      <c r="G552" s="42" t="s">
        <v>110</v>
      </c>
      <c r="H552" s="113">
        <f>(0.94*4.64)*3/1000*1.03</f>
        <v>1.3477343999999997E-2</v>
      </c>
      <c r="I552" s="44"/>
      <c r="J552" s="45"/>
      <c r="K552" s="46"/>
      <c r="L552" s="17"/>
      <c r="M552" s="47"/>
      <c r="N552" s="18"/>
      <c r="O552" s="47"/>
      <c r="P552" s="17"/>
      <c r="Q552" s="47"/>
      <c r="R552" s="18"/>
      <c r="S552" s="48"/>
      <c r="T552" s="49"/>
      <c r="U552" s="48"/>
      <c r="V552" s="49"/>
      <c r="W552" s="29"/>
      <c r="X552" s="89" t="s">
        <v>127</v>
      </c>
      <c r="Y552" s="8"/>
      <c r="Z552" s="8"/>
      <c r="AA552" s="8"/>
      <c r="AB552" s="8"/>
      <c r="AC552" s="8"/>
    </row>
    <row r="553" spans="1:29" ht="28.5" hidden="1" customHeight="1" x14ac:dyDescent="0.2">
      <c r="A553" s="13" t="s">
        <v>9</v>
      </c>
      <c r="B553" s="111"/>
      <c r="C553" s="93" t="s">
        <v>36</v>
      </c>
      <c r="D553" s="40" t="s">
        <v>295</v>
      </c>
      <c r="E553" s="41" t="s">
        <v>338</v>
      </c>
      <c r="F553" s="40"/>
      <c r="G553" s="42" t="s">
        <v>110</v>
      </c>
      <c r="H553" s="43">
        <f>(2.2*3.98)*3/1000*1.03</f>
        <v>2.705604E-2</v>
      </c>
      <c r="I553" s="44"/>
      <c r="J553" s="45"/>
      <c r="K553" s="46"/>
      <c r="L553" s="17"/>
      <c r="M553" s="47"/>
      <c r="N553" s="18"/>
      <c r="O553" s="47"/>
      <c r="P553" s="17"/>
      <c r="Q553" s="47"/>
      <c r="R553" s="18"/>
      <c r="S553" s="48"/>
      <c r="T553" s="49"/>
      <c r="U553" s="48"/>
      <c r="V553" s="49"/>
      <c r="W553" s="29"/>
      <c r="X553" s="89" t="s">
        <v>127</v>
      </c>
      <c r="Y553" s="8"/>
      <c r="Z553" s="8"/>
      <c r="AA553" s="8"/>
      <c r="AB553" s="8"/>
      <c r="AC553" s="8"/>
    </row>
    <row r="554" spans="1:29" ht="28.5" hidden="1" customHeight="1" x14ac:dyDescent="0.2">
      <c r="A554" s="13" t="s">
        <v>9</v>
      </c>
      <c r="B554" s="111"/>
      <c r="C554" s="93" t="s">
        <v>36</v>
      </c>
      <c r="D554" s="40" t="s">
        <v>295</v>
      </c>
      <c r="E554" s="41" t="s">
        <v>345</v>
      </c>
      <c r="F554" s="40"/>
      <c r="G554" s="42" t="s">
        <v>110</v>
      </c>
      <c r="H554" s="43">
        <f>(1.91*4.64)*3/1000*1.03</f>
        <v>2.7384815999999996E-2</v>
      </c>
      <c r="I554" s="44"/>
      <c r="J554" s="45"/>
      <c r="K554" s="46"/>
      <c r="L554" s="17"/>
      <c r="M554" s="47"/>
      <c r="N554" s="18"/>
      <c r="O554" s="47"/>
      <c r="P554" s="17"/>
      <c r="Q554" s="47"/>
      <c r="R554" s="18"/>
      <c r="S554" s="48"/>
      <c r="T554" s="49"/>
      <c r="U554" s="48"/>
      <c r="V554" s="49"/>
      <c r="W554" s="29"/>
      <c r="X554" s="89" t="s">
        <v>127</v>
      </c>
      <c r="Y554" s="8"/>
      <c r="Z554" s="8"/>
      <c r="AA554" s="8"/>
      <c r="AB554" s="8"/>
      <c r="AC554" s="8"/>
    </row>
    <row r="555" spans="1:29" s="69" customFormat="1" ht="28.5" customHeight="1" x14ac:dyDescent="0.2">
      <c r="A555" s="66" t="s">
        <v>8</v>
      </c>
      <c r="B555" s="33" t="s">
        <v>416</v>
      </c>
      <c r="C555" s="23" t="s">
        <v>36</v>
      </c>
      <c r="D555" s="23" t="s">
        <v>295</v>
      </c>
      <c r="E555" s="24" t="s">
        <v>373</v>
      </c>
      <c r="F555" s="36"/>
      <c r="G555" s="37" t="s">
        <v>119</v>
      </c>
      <c r="H555" s="38">
        <f>H556/1.15</f>
        <v>4.41</v>
      </c>
      <c r="I555" s="25"/>
      <c r="J555" s="34"/>
      <c r="K555" s="32"/>
      <c r="L555" s="26"/>
      <c r="M555" s="67"/>
      <c r="N555" s="28"/>
      <c r="O555" s="67"/>
      <c r="P555" s="26"/>
      <c r="Q555" s="67"/>
      <c r="R555" s="28"/>
      <c r="S555" s="27"/>
      <c r="T555" s="28"/>
      <c r="U555" s="27"/>
      <c r="V555" s="28"/>
      <c r="W555" s="68"/>
      <c r="X555" s="88"/>
      <c r="Y555" s="88"/>
      <c r="Z555" s="88"/>
      <c r="AA555" s="88"/>
      <c r="AB555" s="88"/>
      <c r="AC555" s="88"/>
    </row>
    <row r="556" spans="1:29" ht="28.5" hidden="1" customHeight="1" x14ac:dyDescent="0.2">
      <c r="A556" s="13" t="s">
        <v>9</v>
      </c>
      <c r="B556" s="111"/>
      <c r="C556" s="93" t="s">
        <v>36</v>
      </c>
      <c r="D556" s="40" t="s">
        <v>295</v>
      </c>
      <c r="E556" s="41" t="s">
        <v>339</v>
      </c>
      <c r="F556" s="40"/>
      <c r="G556" s="42" t="s">
        <v>113</v>
      </c>
      <c r="H556" s="43">
        <f>1.47*1.15*3</f>
        <v>5.0714999999999995</v>
      </c>
      <c r="I556" s="44"/>
      <c r="J556" s="45"/>
      <c r="K556" s="46"/>
      <c r="L556" s="17"/>
      <c r="M556" s="47"/>
      <c r="N556" s="18"/>
      <c r="O556" s="47"/>
      <c r="P556" s="17"/>
      <c r="Q556" s="47"/>
      <c r="R556" s="18"/>
      <c r="S556" s="48"/>
      <c r="T556" s="49"/>
      <c r="U556" s="48"/>
      <c r="V556" s="49"/>
      <c r="W556" s="29"/>
      <c r="X556" s="89" t="s">
        <v>328</v>
      </c>
      <c r="Y556" s="8"/>
      <c r="Z556" s="8"/>
      <c r="AA556" s="8"/>
      <c r="AB556" s="8"/>
      <c r="AC556" s="8"/>
    </row>
    <row r="557" spans="1:29" ht="28.5" hidden="1" customHeight="1" x14ac:dyDescent="0.2">
      <c r="A557" s="13" t="s">
        <v>9</v>
      </c>
      <c r="B557" s="111"/>
      <c r="C557" s="93" t="s">
        <v>36</v>
      </c>
      <c r="D557" s="40" t="s">
        <v>295</v>
      </c>
      <c r="E557" s="41" t="s">
        <v>374</v>
      </c>
      <c r="F557" s="40"/>
      <c r="G557" s="42" t="s">
        <v>69</v>
      </c>
      <c r="H557" s="43">
        <f>H555*8</f>
        <v>35.28</v>
      </c>
      <c r="I557" s="44"/>
      <c r="J557" s="45"/>
      <c r="K557" s="46"/>
      <c r="L557" s="17"/>
      <c r="M557" s="47"/>
      <c r="N557" s="18"/>
      <c r="O557" s="47"/>
      <c r="P557" s="17"/>
      <c r="Q557" s="47"/>
      <c r="R557" s="18"/>
      <c r="S557" s="48"/>
      <c r="T557" s="49"/>
      <c r="U557" s="48"/>
      <c r="V557" s="49"/>
      <c r="W557" s="29"/>
      <c r="X557" s="89" t="s">
        <v>375</v>
      </c>
      <c r="Y557" s="8"/>
      <c r="Z557" s="8"/>
      <c r="AA557" s="8"/>
      <c r="AB557" s="8"/>
      <c r="AC557" s="8"/>
    </row>
    <row r="558" spans="1:29" s="85" customFormat="1" ht="28.5" customHeight="1" x14ac:dyDescent="0.2">
      <c r="A558" s="70" t="s">
        <v>14</v>
      </c>
      <c r="B558" s="71">
        <v>29</v>
      </c>
      <c r="C558" s="72" t="s">
        <v>36</v>
      </c>
      <c r="D558" s="75" t="s">
        <v>295</v>
      </c>
      <c r="E558" s="74" t="s">
        <v>305</v>
      </c>
      <c r="F558" s="75"/>
      <c r="G558" s="73" t="s">
        <v>69</v>
      </c>
      <c r="H558" s="76">
        <v>2</v>
      </c>
      <c r="I558" s="77"/>
      <c r="J558" s="76"/>
      <c r="K558" s="78"/>
      <c r="L558" s="79"/>
      <c r="M558" s="80"/>
      <c r="N558" s="81"/>
      <c r="O558" s="82"/>
      <c r="P558" s="79"/>
      <c r="Q558" s="80"/>
      <c r="R558" s="81"/>
      <c r="S558" s="80"/>
      <c r="T558" s="83"/>
      <c r="U558" s="84"/>
      <c r="V558" s="83"/>
    </row>
    <row r="559" spans="1:29" s="69" customFormat="1" ht="28.5" customHeight="1" x14ac:dyDescent="0.2">
      <c r="A559" s="66" t="s">
        <v>8</v>
      </c>
      <c r="B559" s="33" t="s">
        <v>417</v>
      </c>
      <c r="C559" s="23" t="s">
        <v>36</v>
      </c>
      <c r="D559" s="23" t="s">
        <v>295</v>
      </c>
      <c r="E559" s="24" t="s">
        <v>366</v>
      </c>
      <c r="F559" s="36"/>
      <c r="G559" s="37" t="s">
        <v>110</v>
      </c>
      <c r="H559" s="38">
        <f>SUM(H560:H564)/1.03</f>
        <v>0.8388249499999999</v>
      </c>
      <c r="I559" s="25"/>
      <c r="J559" s="34"/>
      <c r="K559" s="32"/>
      <c r="L559" s="26"/>
      <c r="M559" s="67"/>
      <c r="N559" s="28"/>
      <c r="O559" s="67"/>
      <c r="P559" s="26"/>
      <c r="Q559" s="67"/>
      <c r="R559" s="28"/>
      <c r="S559" s="27"/>
      <c r="T559" s="28"/>
      <c r="U559" s="27"/>
      <c r="V559" s="28"/>
      <c r="W559" s="68"/>
      <c r="X559" s="88"/>
      <c r="Y559" s="88"/>
      <c r="Z559" s="88"/>
      <c r="AA559" s="88"/>
      <c r="AB559" s="88"/>
      <c r="AC559" s="88"/>
    </row>
    <row r="560" spans="1:29" ht="28.5" hidden="1" customHeight="1" x14ac:dyDescent="0.2">
      <c r="A560" s="13" t="s">
        <v>9</v>
      </c>
      <c r="B560" s="111"/>
      <c r="C560" s="93" t="s">
        <v>36</v>
      </c>
      <c r="D560" s="40" t="s">
        <v>295</v>
      </c>
      <c r="E560" s="41" t="s">
        <v>320</v>
      </c>
      <c r="F560" s="40"/>
      <c r="G560" s="42" t="s">
        <v>110</v>
      </c>
      <c r="H560" s="43">
        <f>(5.08*10.79)*2/1000*1.03</f>
        <v>0.11291519199999998</v>
      </c>
      <c r="I560" s="44"/>
      <c r="J560" s="45"/>
      <c r="K560" s="46"/>
      <c r="L560" s="17"/>
      <c r="M560" s="47"/>
      <c r="N560" s="18"/>
      <c r="O560" s="47"/>
      <c r="P560" s="17"/>
      <c r="Q560" s="47"/>
      <c r="R560" s="18"/>
      <c r="S560" s="48"/>
      <c r="T560" s="49"/>
      <c r="U560" s="48"/>
      <c r="V560" s="49"/>
      <c r="W560" s="29"/>
      <c r="X560" s="89" t="s">
        <v>127</v>
      </c>
      <c r="Y560" s="8"/>
      <c r="Z560" s="8"/>
      <c r="AA560" s="8"/>
      <c r="AB560" s="8"/>
      <c r="AC560" s="8"/>
    </row>
    <row r="561" spans="1:29" ht="28.5" hidden="1" customHeight="1" x14ac:dyDescent="0.2">
      <c r="A561" s="13" t="s">
        <v>9</v>
      </c>
      <c r="B561" s="111"/>
      <c r="C561" s="93" t="s">
        <v>36</v>
      </c>
      <c r="D561" s="40" t="s">
        <v>295</v>
      </c>
      <c r="E561" s="41" t="s">
        <v>321</v>
      </c>
      <c r="F561" s="40"/>
      <c r="G561" s="42" t="s">
        <v>110</v>
      </c>
      <c r="H561" s="43">
        <f>(36.4*6.39)*2/1000*1.03</f>
        <v>0.47914775999999992</v>
      </c>
      <c r="I561" s="44"/>
      <c r="J561" s="45"/>
      <c r="K561" s="46"/>
      <c r="L561" s="17"/>
      <c r="M561" s="47"/>
      <c r="N561" s="18"/>
      <c r="O561" s="47"/>
      <c r="P561" s="17"/>
      <c r="Q561" s="47"/>
      <c r="R561" s="18"/>
      <c r="S561" s="48"/>
      <c r="T561" s="49"/>
      <c r="U561" s="48"/>
      <c r="V561" s="49"/>
      <c r="W561" s="29"/>
      <c r="X561" s="89" t="s">
        <v>127</v>
      </c>
      <c r="Y561" s="8"/>
      <c r="Z561" s="8"/>
      <c r="AA561" s="8"/>
      <c r="AB561" s="8"/>
      <c r="AC561" s="8"/>
    </row>
    <row r="562" spans="1:29" ht="28.5" hidden="1" customHeight="1" x14ac:dyDescent="0.2">
      <c r="A562" s="13" t="s">
        <v>9</v>
      </c>
      <c r="B562" s="111"/>
      <c r="C562" s="93" t="s">
        <v>36</v>
      </c>
      <c r="D562" s="40" t="s">
        <v>295</v>
      </c>
      <c r="E562" s="41" t="s">
        <v>322</v>
      </c>
      <c r="F562" s="40"/>
      <c r="G562" s="42" t="s">
        <v>110</v>
      </c>
      <c r="H562" s="43">
        <f>((1.91*0.3)*8)*2/1000*1.03</f>
        <v>9.4430399999999998E-3</v>
      </c>
      <c r="I562" s="44"/>
      <c r="J562" s="45"/>
      <c r="K562" s="46"/>
      <c r="L562" s="17"/>
      <c r="M562" s="47"/>
      <c r="N562" s="18"/>
      <c r="O562" s="47"/>
      <c r="P562" s="17"/>
      <c r="Q562" s="47"/>
      <c r="R562" s="18"/>
      <c r="S562" s="48"/>
      <c r="T562" s="49"/>
      <c r="U562" s="48"/>
      <c r="V562" s="49"/>
      <c r="W562" s="29"/>
      <c r="X562" s="89" t="s">
        <v>127</v>
      </c>
      <c r="Y562" s="8"/>
      <c r="Z562" s="8"/>
      <c r="AA562" s="8"/>
      <c r="AB562" s="8"/>
      <c r="AC562" s="8"/>
    </row>
    <row r="563" spans="1:29" ht="28.5" hidden="1" customHeight="1" x14ac:dyDescent="0.2">
      <c r="A563" s="13" t="s">
        <v>9</v>
      </c>
      <c r="B563" s="111"/>
      <c r="C563" s="93" t="s">
        <v>36</v>
      </c>
      <c r="D563" s="40" t="s">
        <v>295</v>
      </c>
      <c r="E563" s="41" t="s">
        <v>323</v>
      </c>
      <c r="F563" s="40"/>
      <c r="G563" s="42" t="s">
        <v>110</v>
      </c>
      <c r="H563" s="43">
        <f>(2.35*37.28)*2/1000*1.03</f>
        <v>0.18047248000000002</v>
      </c>
      <c r="I563" s="44"/>
      <c r="J563" s="45"/>
      <c r="K563" s="46"/>
      <c r="L563" s="17"/>
      <c r="M563" s="47"/>
      <c r="N563" s="18"/>
      <c r="O563" s="47"/>
      <c r="P563" s="17"/>
      <c r="Q563" s="47"/>
      <c r="R563" s="18"/>
      <c r="S563" s="48"/>
      <c r="T563" s="49"/>
      <c r="U563" s="48"/>
      <c r="V563" s="49"/>
      <c r="W563" s="29"/>
      <c r="X563" s="89" t="s">
        <v>127</v>
      </c>
      <c r="Y563" s="8"/>
      <c r="Z563" s="8"/>
      <c r="AA563" s="8"/>
      <c r="AB563" s="8"/>
      <c r="AC563" s="8"/>
    </row>
    <row r="564" spans="1:29" ht="28.5" hidden="1" customHeight="1" x14ac:dyDescent="0.2">
      <c r="A564" s="13" t="s">
        <v>9</v>
      </c>
      <c r="B564" s="111"/>
      <c r="C564" s="93" t="s">
        <v>36</v>
      </c>
      <c r="D564" s="40" t="s">
        <v>295</v>
      </c>
      <c r="E564" s="41" t="s">
        <v>344</v>
      </c>
      <c r="F564" s="40"/>
      <c r="G564" s="42" t="s">
        <v>110</v>
      </c>
      <c r="H564" s="43">
        <f>((0.69*2.45)*23.55)*2/1000*1.03</f>
        <v>8.2011226500000006E-2</v>
      </c>
      <c r="I564" s="44"/>
      <c r="J564" s="45"/>
      <c r="K564" s="46"/>
      <c r="L564" s="17"/>
      <c r="M564" s="47"/>
      <c r="N564" s="18"/>
      <c r="O564" s="47"/>
      <c r="P564" s="17"/>
      <c r="Q564" s="47"/>
      <c r="R564" s="18"/>
      <c r="S564" s="48"/>
      <c r="T564" s="49"/>
      <c r="U564" s="48"/>
      <c r="V564" s="49"/>
      <c r="W564" s="29"/>
      <c r="X564" s="89" t="s">
        <v>127</v>
      </c>
      <c r="Y564" s="8"/>
      <c r="Z564" s="8"/>
      <c r="AA564" s="8"/>
      <c r="AB564" s="8"/>
      <c r="AC564" s="8"/>
    </row>
    <row r="565" spans="1:29" s="69" customFormat="1" ht="38.25" x14ac:dyDescent="0.2">
      <c r="A565" s="66" t="s">
        <v>8</v>
      </c>
      <c r="B565" s="33" t="s">
        <v>418</v>
      </c>
      <c r="C565" s="23" t="s">
        <v>36</v>
      </c>
      <c r="D565" s="23" t="s">
        <v>295</v>
      </c>
      <c r="E565" s="24" t="s">
        <v>508</v>
      </c>
      <c r="F565" s="36"/>
      <c r="G565" s="37" t="s">
        <v>128</v>
      </c>
      <c r="H565" s="38">
        <f>SUM(H566:H567)/1.15</f>
        <v>1.482</v>
      </c>
      <c r="I565" s="25"/>
      <c r="J565" s="34"/>
      <c r="K565" s="32"/>
      <c r="L565" s="26"/>
      <c r="M565" s="67"/>
      <c r="N565" s="28"/>
      <c r="O565" s="67"/>
      <c r="P565" s="26"/>
      <c r="Q565" s="67"/>
      <c r="R565" s="28"/>
      <c r="S565" s="27"/>
      <c r="T565" s="28"/>
      <c r="U565" s="27"/>
      <c r="V565" s="28"/>
      <c r="W565" s="68"/>
      <c r="X565" s="88"/>
      <c r="Y565" s="88"/>
      <c r="Z565" s="88"/>
      <c r="AA565" s="88"/>
      <c r="AB565" s="88"/>
      <c r="AC565" s="88"/>
    </row>
    <row r="566" spans="1:29" ht="28.5" hidden="1" customHeight="1" x14ac:dyDescent="0.2">
      <c r="A566" s="13" t="s">
        <v>9</v>
      </c>
      <c r="B566" s="111"/>
      <c r="C566" s="93" t="s">
        <v>36</v>
      </c>
      <c r="D566" s="40" t="s">
        <v>295</v>
      </c>
      <c r="E566" s="41" t="s">
        <v>325</v>
      </c>
      <c r="F566" s="40"/>
      <c r="G566" s="42" t="s">
        <v>107</v>
      </c>
      <c r="H566" s="43">
        <f>0.364*1.15*2</f>
        <v>0.83719999999999994</v>
      </c>
      <c r="I566" s="44"/>
      <c r="J566" s="45"/>
      <c r="K566" s="46"/>
      <c r="L566" s="17"/>
      <c r="M566" s="47"/>
      <c r="N566" s="18"/>
      <c r="O566" s="47"/>
      <c r="P566" s="17"/>
      <c r="Q566" s="47"/>
      <c r="R566" s="18"/>
      <c r="S566" s="48"/>
      <c r="T566" s="49"/>
      <c r="U566" s="48"/>
      <c r="V566" s="49"/>
      <c r="W566" s="29"/>
      <c r="X566" s="89" t="s">
        <v>170</v>
      </c>
      <c r="Y566" s="8"/>
      <c r="Z566" s="8"/>
      <c r="AA566" s="8"/>
      <c r="AB566" s="8"/>
      <c r="AC566" s="8"/>
    </row>
    <row r="567" spans="1:29" ht="28.5" hidden="1" customHeight="1" x14ac:dyDescent="0.2">
      <c r="A567" s="13" t="s">
        <v>9</v>
      </c>
      <c r="B567" s="111"/>
      <c r="C567" s="93" t="s">
        <v>36</v>
      </c>
      <c r="D567" s="40" t="s">
        <v>295</v>
      </c>
      <c r="E567" s="41" t="s">
        <v>326</v>
      </c>
      <c r="F567" s="40"/>
      <c r="G567" s="42" t="s">
        <v>107</v>
      </c>
      <c r="H567" s="43">
        <f>0.377*1.15*2</f>
        <v>0.86709999999999998</v>
      </c>
      <c r="I567" s="44"/>
      <c r="J567" s="45"/>
      <c r="K567" s="46"/>
      <c r="L567" s="17"/>
      <c r="M567" s="47"/>
      <c r="N567" s="18"/>
      <c r="O567" s="47"/>
      <c r="P567" s="17"/>
      <c r="Q567" s="47"/>
      <c r="R567" s="18"/>
      <c r="S567" s="48"/>
      <c r="T567" s="49"/>
      <c r="U567" s="48"/>
      <c r="V567" s="49"/>
      <c r="W567" s="29"/>
      <c r="X567" s="89" t="s">
        <v>170</v>
      </c>
      <c r="Y567" s="8"/>
      <c r="Z567" s="8"/>
      <c r="AA567" s="8"/>
      <c r="AB567" s="8"/>
      <c r="AC567" s="8"/>
    </row>
    <row r="568" spans="1:29" s="69" customFormat="1" ht="28.5" customHeight="1" x14ac:dyDescent="0.2">
      <c r="A568" s="66" t="s">
        <v>8</v>
      </c>
      <c r="B568" s="33" t="s">
        <v>419</v>
      </c>
      <c r="C568" s="23" t="s">
        <v>36</v>
      </c>
      <c r="D568" s="23" t="s">
        <v>295</v>
      </c>
      <c r="E568" s="24" t="s">
        <v>370</v>
      </c>
      <c r="F568" s="36"/>
      <c r="G568" s="37" t="s">
        <v>119</v>
      </c>
      <c r="H568" s="38">
        <f>H569/1.15</f>
        <v>50.24</v>
      </c>
      <c r="I568" s="25"/>
      <c r="J568" s="34"/>
      <c r="K568" s="32"/>
      <c r="L568" s="26"/>
      <c r="M568" s="67"/>
      <c r="N568" s="28"/>
      <c r="O568" s="67"/>
      <c r="P568" s="26"/>
      <c r="Q568" s="67"/>
      <c r="R568" s="28"/>
      <c r="S568" s="27"/>
      <c r="T568" s="28"/>
      <c r="U568" s="27"/>
      <c r="V568" s="28"/>
      <c r="W568" s="68"/>
      <c r="X568" s="114" t="s">
        <v>512</v>
      </c>
      <c r="Y568" s="114"/>
      <c r="Z568" s="114"/>
      <c r="AA568" s="88"/>
      <c r="AB568" s="88"/>
      <c r="AC568" s="88"/>
    </row>
    <row r="569" spans="1:29" ht="28.5" hidden="1" customHeight="1" x14ac:dyDescent="0.2">
      <c r="A569" s="13" t="s">
        <v>9</v>
      </c>
      <c r="B569" s="111"/>
      <c r="C569" s="93" t="s">
        <v>36</v>
      </c>
      <c r="D569" s="40" t="s">
        <v>295</v>
      </c>
      <c r="E569" s="41" t="s">
        <v>327</v>
      </c>
      <c r="F569" s="40"/>
      <c r="G569" s="42" t="s">
        <v>113</v>
      </c>
      <c r="H569" s="43">
        <f>25.12*1.15*2</f>
        <v>57.775999999999996</v>
      </c>
      <c r="I569" s="44"/>
      <c r="J569" s="45"/>
      <c r="K569" s="46"/>
      <c r="L569" s="17"/>
      <c r="M569" s="47"/>
      <c r="N569" s="18"/>
      <c r="O569" s="47"/>
      <c r="P569" s="17"/>
      <c r="Q569" s="47"/>
      <c r="R569" s="18"/>
      <c r="S569" s="48"/>
      <c r="T569" s="49"/>
      <c r="U569" s="48"/>
      <c r="V569" s="49"/>
      <c r="W569" s="29"/>
      <c r="X569" s="89" t="s">
        <v>328</v>
      </c>
      <c r="Y569" s="8"/>
      <c r="Z569" s="8"/>
      <c r="AA569" s="8"/>
      <c r="AB569" s="8"/>
      <c r="AC569" s="8"/>
    </row>
    <row r="570" spans="1:29" s="69" customFormat="1" ht="28.5" customHeight="1" x14ac:dyDescent="0.2">
      <c r="A570" s="66" t="s">
        <v>8</v>
      </c>
      <c r="B570" s="33" t="s">
        <v>420</v>
      </c>
      <c r="C570" s="23" t="s">
        <v>36</v>
      </c>
      <c r="D570" s="23" t="s">
        <v>295</v>
      </c>
      <c r="E570" s="24" t="s">
        <v>371</v>
      </c>
      <c r="F570" s="36"/>
      <c r="G570" s="37" t="s">
        <v>193</v>
      </c>
      <c r="H570" s="38">
        <f>H571/1.15</f>
        <v>11.04</v>
      </c>
      <c r="I570" s="25"/>
      <c r="J570" s="34"/>
      <c r="K570" s="32"/>
      <c r="L570" s="26"/>
      <c r="M570" s="67"/>
      <c r="N570" s="28"/>
      <c r="O570" s="67"/>
      <c r="P570" s="26"/>
      <c r="Q570" s="67"/>
      <c r="R570" s="28"/>
      <c r="S570" s="27"/>
      <c r="T570" s="28"/>
      <c r="U570" s="27"/>
      <c r="V570" s="28"/>
      <c r="W570" s="68"/>
      <c r="X570" s="114" t="s">
        <v>510</v>
      </c>
      <c r="Y570" s="114"/>
      <c r="Z570" s="114"/>
      <c r="AA570" s="114"/>
      <c r="AB570" s="114"/>
      <c r="AC570" s="114"/>
    </row>
    <row r="571" spans="1:29" ht="28.5" hidden="1" customHeight="1" x14ac:dyDescent="0.2">
      <c r="A571" s="13" t="s">
        <v>9</v>
      </c>
      <c r="B571" s="111"/>
      <c r="C571" s="93" t="s">
        <v>36</v>
      </c>
      <c r="D571" s="40" t="s">
        <v>295</v>
      </c>
      <c r="E571" s="41" t="s">
        <v>329</v>
      </c>
      <c r="F571" s="40"/>
      <c r="G571" s="42" t="s">
        <v>193</v>
      </c>
      <c r="H571" s="43">
        <f>5.52*1.15*2</f>
        <v>12.695999999999998</v>
      </c>
      <c r="I571" s="44"/>
      <c r="J571" s="45"/>
      <c r="K571" s="46"/>
      <c r="L571" s="17"/>
      <c r="M571" s="47"/>
      <c r="N571" s="18"/>
      <c r="O571" s="47"/>
      <c r="P571" s="17"/>
      <c r="Q571" s="47"/>
      <c r="R571" s="18"/>
      <c r="S571" s="48"/>
      <c r="T571" s="49"/>
      <c r="U571" s="48"/>
      <c r="V571" s="49"/>
      <c r="W571" s="29"/>
      <c r="X571" s="89" t="s">
        <v>330</v>
      </c>
      <c r="Y571" s="8"/>
      <c r="Z571" s="8"/>
      <c r="AA571" s="8"/>
      <c r="AB571" s="8"/>
      <c r="AC571" s="8"/>
    </row>
    <row r="572" spans="1:29" ht="28.5" hidden="1" customHeight="1" x14ac:dyDescent="0.2">
      <c r="A572" s="13" t="s">
        <v>9</v>
      </c>
      <c r="B572" s="111"/>
      <c r="C572" s="93" t="s">
        <v>36</v>
      </c>
      <c r="D572" s="40" t="s">
        <v>295</v>
      </c>
      <c r="E572" s="41" t="s">
        <v>191</v>
      </c>
      <c r="F572" s="40"/>
      <c r="G572" s="42" t="s">
        <v>69</v>
      </c>
      <c r="H572" s="112">
        <f>H570/0.2*2</f>
        <v>110.39999999999999</v>
      </c>
      <c r="I572" s="44"/>
      <c r="J572" s="45"/>
      <c r="K572" s="46"/>
      <c r="L572" s="17"/>
      <c r="M572" s="47"/>
      <c r="N572" s="18"/>
      <c r="O572" s="47"/>
      <c r="P572" s="17"/>
      <c r="Q572" s="47"/>
      <c r="R572" s="18"/>
      <c r="S572" s="48"/>
      <c r="T572" s="49"/>
      <c r="U572" s="48"/>
      <c r="V572" s="49"/>
      <c r="W572" s="29"/>
      <c r="X572" s="89" t="s">
        <v>333</v>
      </c>
      <c r="Y572" s="8"/>
      <c r="Z572" s="8"/>
      <c r="AA572" s="8"/>
      <c r="AB572" s="8"/>
      <c r="AC572" s="8"/>
    </row>
    <row r="573" spans="1:29" s="69" customFormat="1" ht="28.5" customHeight="1" x14ac:dyDescent="0.2">
      <c r="A573" s="66" t="s">
        <v>8</v>
      </c>
      <c r="B573" s="33" t="s">
        <v>421</v>
      </c>
      <c r="C573" s="23" t="s">
        <v>36</v>
      </c>
      <c r="D573" s="23" t="s">
        <v>295</v>
      </c>
      <c r="E573" s="24" t="s">
        <v>368</v>
      </c>
      <c r="F573" s="36"/>
      <c r="G573" s="37" t="s">
        <v>128</v>
      </c>
      <c r="H573" s="38">
        <f>H574/1.15</f>
        <v>3.7120000000000002</v>
      </c>
      <c r="I573" s="25"/>
      <c r="J573" s="34"/>
      <c r="K573" s="32"/>
      <c r="L573" s="26"/>
      <c r="M573" s="67"/>
      <c r="N573" s="28"/>
      <c r="O573" s="67"/>
      <c r="P573" s="26"/>
      <c r="Q573" s="67"/>
      <c r="R573" s="28"/>
      <c r="S573" s="27"/>
      <c r="T573" s="28"/>
      <c r="U573" s="27"/>
      <c r="V573" s="28"/>
      <c r="W573" s="68"/>
      <c r="X573" s="88"/>
      <c r="Y573" s="88"/>
      <c r="Z573" s="88"/>
      <c r="AA573" s="88"/>
      <c r="AB573" s="88"/>
      <c r="AC573" s="88"/>
    </row>
    <row r="574" spans="1:29" ht="28.5" hidden="1" customHeight="1" x14ac:dyDescent="0.2">
      <c r="A574" s="13" t="s">
        <v>9</v>
      </c>
      <c r="B574" s="111"/>
      <c r="C574" s="93" t="s">
        <v>36</v>
      </c>
      <c r="D574" s="40" t="s">
        <v>295</v>
      </c>
      <c r="E574" s="41" t="s">
        <v>331</v>
      </c>
      <c r="F574" s="40"/>
      <c r="G574" s="42" t="s">
        <v>107</v>
      </c>
      <c r="H574" s="43">
        <f>18.56*0.1*1.15*2</f>
        <v>4.2687999999999997</v>
      </c>
      <c r="I574" s="44"/>
      <c r="J574" s="45"/>
      <c r="K574" s="46"/>
      <c r="L574" s="17"/>
      <c r="M574" s="47"/>
      <c r="N574" s="18"/>
      <c r="O574" s="47"/>
      <c r="P574" s="17"/>
      <c r="Q574" s="47"/>
      <c r="R574" s="18"/>
      <c r="S574" s="48"/>
      <c r="T574" s="49"/>
      <c r="U574" s="48"/>
      <c r="V574" s="49"/>
      <c r="W574" s="29"/>
      <c r="X574" s="89" t="s">
        <v>330</v>
      </c>
      <c r="Y574" s="8"/>
      <c r="Z574" s="8"/>
      <c r="AA574" s="8"/>
      <c r="AB574" s="8"/>
      <c r="AC574" s="8"/>
    </row>
    <row r="575" spans="1:29" s="69" customFormat="1" ht="28.5" customHeight="1" x14ac:dyDescent="0.2">
      <c r="A575" s="66" t="s">
        <v>8</v>
      </c>
      <c r="B575" s="33" t="s">
        <v>422</v>
      </c>
      <c r="C575" s="23" t="s">
        <v>36</v>
      </c>
      <c r="D575" s="23" t="s">
        <v>295</v>
      </c>
      <c r="E575" s="24" t="s">
        <v>369</v>
      </c>
      <c r="F575" s="36"/>
      <c r="G575" s="37" t="s">
        <v>119</v>
      </c>
      <c r="H575" s="38">
        <f>H576/1.15</f>
        <v>37.119999999999997</v>
      </c>
      <c r="I575" s="25"/>
      <c r="J575" s="34"/>
      <c r="K575" s="32"/>
      <c r="L575" s="26"/>
      <c r="M575" s="67"/>
      <c r="N575" s="28"/>
      <c r="O575" s="67"/>
      <c r="P575" s="26"/>
      <c r="Q575" s="67"/>
      <c r="R575" s="28"/>
      <c r="S575" s="27"/>
      <c r="T575" s="28"/>
      <c r="U575" s="27"/>
      <c r="V575" s="28"/>
      <c r="W575" s="68"/>
      <c r="X575" s="88"/>
      <c r="Y575" s="88"/>
      <c r="Z575" s="88"/>
      <c r="AA575" s="88"/>
      <c r="AB575" s="88"/>
      <c r="AC575" s="88"/>
    </row>
    <row r="576" spans="1:29" ht="28.5" hidden="1" customHeight="1" x14ac:dyDescent="0.2">
      <c r="A576" s="13" t="s">
        <v>9</v>
      </c>
      <c r="B576" s="111"/>
      <c r="C576" s="93" t="s">
        <v>36</v>
      </c>
      <c r="D576" s="40" t="s">
        <v>295</v>
      </c>
      <c r="E576" s="41" t="s">
        <v>332</v>
      </c>
      <c r="F576" s="40"/>
      <c r="G576" s="42" t="s">
        <v>113</v>
      </c>
      <c r="H576" s="43">
        <f>18.56*1.15*2</f>
        <v>42.687999999999995</v>
      </c>
      <c r="I576" s="44"/>
      <c r="J576" s="45"/>
      <c r="K576" s="46"/>
      <c r="L576" s="17"/>
      <c r="M576" s="47"/>
      <c r="N576" s="18"/>
      <c r="O576" s="47"/>
      <c r="P576" s="17"/>
      <c r="Q576" s="47"/>
      <c r="R576" s="18"/>
      <c r="S576" s="48"/>
      <c r="T576" s="49"/>
      <c r="U576" s="48"/>
      <c r="V576" s="49"/>
      <c r="W576" s="29"/>
      <c r="X576" s="89" t="s">
        <v>328</v>
      </c>
      <c r="Y576" s="8"/>
      <c r="Z576" s="8"/>
      <c r="AA576" s="8"/>
      <c r="AB576" s="8"/>
      <c r="AC576" s="8"/>
    </row>
    <row r="577" spans="1:29" s="85" customFormat="1" ht="28.5" customHeight="1" x14ac:dyDescent="0.2">
      <c r="A577" s="70" t="s">
        <v>14</v>
      </c>
      <c r="B577" s="71">
        <v>30</v>
      </c>
      <c r="C577" s="72" t="s">
        <v>36</v>
      </c>
      <c r="D577" s="75" t="s">
        <v>295</v>
      </c>
      <c r="E577" s="74" t="s">
        <v>315</v>
      </c>
      <c r="F577" s="75"/>
      <c r="G577" s="73" t="s">
        <v>69</v>
      </c>
      <c r="H577" s="76">
        <v>2</v>
      </c>
      <c r="I577" s="77"/>
      <c r="J577" s="76"/>
      <c r="K577" s="78"/>
      <c r="L577" s="79"/>
      <c r="M577" s="80"/>
      <c r="N577" s="81"/>
      <c r="O577" s="82"/>
      <c r="P577" s="79"/>
      <c r="Q577" s="80"/>
      <c r="R577" s="81"/>
      <c r="S577" s="80"/>
      <c r="T577" s="83"/>
      <c r="U577" s="84"/>
      <c r="V577" s="83"/>
    </row>
    <row r="578" spans="1:29" s="69" customFormat="1" ht="28.5" customHeight="1" x14ac:dyDescent="0.2">
      <c r="A578" s="66" t="s">
        <v>8</v>
      </c>
      <c r="B578" s="33" t="s">
        <v>423</v>
      </c>
      <c r="C578" s="23" t="s">
        <v>36</v>
      </c>
      <c r="D578" s="23" t="s">
        <v>295</v>
      </c>
      <c r="E578" s="24" t="s">
        <v>367</v>
      </c>
      <c r="F578" s="36"/>
      <c r="G578" s="37" t="s">
        <v>110</v>
      </c>
      <c r="H578" s="38">
        <f>SUM(H579:H583)/1.03</f>
        <v>5.7202800000000005E-2</v>
      </c>
      <c r="I578" s="25"/>
      <c r="J578" s="34"/>
      <c r="K578" s="32"/>
      <c r="L578" s="26"/>
      <c r="M578" s="67"/>
      <c r="N578" s="28"/>
      <c r="O578" s="67"/>
      <c r="P578" s="26"/>
      <c r="Q578" s="67"/>
      <c r="R578" s="28"/>
      <c r="S578" s="27"/>
      <c r="T578" s="28"/>
      <c r="U578" s="27"/>
      <c r="V578" s="28"/>
      <c r="W578" s="68"/>
      <c r="X578" s="88"/>
      <c r="Y578" s="88"/>
      <c r="Z578" s="88"/>
      <c r="AA578" s="88"/>
      <c r="AB578" s="88"/>
      <c r="AC578" s="88"/>
    </row>
    <row r="579" spans="1:29" ht="28.5" hidden="1" customHeight="1" x14ac:dyDescent="0.2">
      <c r="A579" s="13" t="s">
        <v>9</v>
      </c>
      <c r="B579" s="111"/>
      <c r="C579" s="93" t="s">
        <v>36</v>
      </c>
      <c r="D579" s="40" t="s">
        <v>295</v>
      </c>
      <c r="E579" s="41" t="s">
        <v>335</v>
      </c>
      <c r="F579" s="40"/>
      <c r="G579" s="42" t="s">
        <v>110</v>
      </c>
      <c r="H579" s="113">
        <f>((0.94*0.38)*4)*2/1000*1.03</f>
        <v>2.9433279999999998E-3</v>
      </c>
      <c r="I579" s="44"/>
      <c r="J579" s="45"/>
      <c r="K579" s="46"/>
      <c r="L579" s="17"/>
      <c r="M579" s="47"/>
      <c r="N579" s="18"/>
      <c r="O579" s="47"/>
      <c r="P579" s="17"/>
      <c r="Q579" s="47"/>
      <c r="R579" s="18"/>
      <c r="S579" s="48"/>
      <c r="T579" s="49"/>
      <c r="U579" s="48"/>
      <c r="V579" s="49"/>
      <c r="W579" s="29"/>
      <c r="X579" s="89" t="s">
        <v>127</v>
      </c>
      <c r="Y579" s="8"/>
      <c r="Z579" s="8"/>
      <c r="AA579" s="8"/>
      <c r="AB579" s="8"/>
      <c r="AC579" s="8"/>
    </row>
    <row r="580" spans="1:29" ht="28.5" hidden="1" customHeight="1" x14ac:dyDescent="0.2">
      <c r="A580" s="13" t="s">
        <v>9</v>
      </c>
      <c r="B580" s="111"/>
      <c r="C580" s="93" t="s">
        <v>36</v>
      </c>
      <c r="D580" s="40" t="s">
        <v>295</v>
      </c>
      <c r="E580" s="41" t="s">
        <v>336</v>
      </c>
      <c r="F580" s="40"/>
      <c r="G580" s="42" t="s">
        <v>110</v>
      </c>
      <c r="H580" s="113">
        <f>(0.94*2.64)*2/1000*1.03</f>
        <v>5.1120959999999991E-3</v>
      </c>
      <c r="I580" s="44"/>
      <c r="J580" s="45"/>
      <c r="K580" s="46"/>
      <c r="L580" s="17"/>
      <c r="M580" s="47"/>
      <c r="N580" s="18"/>
      <c r="O580" s="47"/>
      <c r="P580" s="17"/>
      <c r="Q580" s="47"/>
      <c r="R580" s="18"/>
      <c r="S580" s="48"/>
      <c r="T580" s="49"/>
      <c r="U580" s="48"/>
      <c r="V580" s="49"/>
      <c r="W580" s="29"/>
      <c r="X580" s="89" t="s">
        <v>127</v>
      </c>
      <c r="Y580" s="8"/>
      <c r="Z580" s="8"/>
      <c r="AA580" s="8"/>
      <c r="AB580" s="8"/>
      <c r="AC580" s="8"/>
    </row>
    <row r="581" spans="1:29" ht="28.5" hidden="1" customHeight="1" x14ac:dyDescent="0.2">
      <c r="A581" s="13" t="s">
        <v>9</v>
      </c>
      <c r="B581" s="111"/>
      <c r="C581" s="93" t="s">
        <v>36</v>
      </c>
      <c r="D581" s="40" t="s">
        <v>295</v>
      </c>
      <c r="E581" s="41" t="s">
        <v>337</v>
      </c>
      <c r="F581" s="40"/>
      <c r="G581" s="42" t="s">
        <v>110</v>
      </c>
      <c r="H581" s="113">
        <f>(0.94*5.02)*2/1000*1.03</f>
        <v>9.7207279999999979E-3</v>
      </c>
      <c r="I581" s="44"/>
      <c r="J581" s="45"/>
      <c r="K581" s="46"/>
      <c r="L581" s="17"/>
      <c r="M581" s="47"/>
      <c r="N581" s="18"/>
      <c r="O581" s="47"/>
      <c r="P581" s="17"/>
      <c r="Q581" s="47"/>
      <c r="R581" s="18"/>
      <c r="S581" s="48"/>
      <c r="T581" s="49"/>
      <c r="U581" s="48"/>
      <c r="V581" s="49"/>
      <c r="W581" s="29"/>
      <c r="X581" s="89" t="s">
        <v>127</v>
      </c>
      <c r="Y581" s="8"/>
      <c r="Z581" s="8"/>
      <c r="AA581" s="8"/>
      <c r="AB581" s="8"/>
      <c r="AC581" s="8"/>
    </row>
    <row r="582" spans="1:29" ht="28.5" hidden="1" customHeight="1" x14ac:dyDescent="0.2">
      <c r="A582" s="13" t="s">
        <v>9</v>
      </c>
      <c r="B582" s="111"/>
      <c r="C582" s="93" t="s">
        <v>36</v>
      </c>
      <c r="D582" s="40" t="s">
        <v>295</v>
      </c>
      <c r="E582" s="41" t="s">
        <v>338</v>
      </c>
      <c r="F582" s="40"/>
      <c r="G582" s="42" t="s">
        <v>110</v>
      </c>
      <c r="H582" s="43">
        <f>(2.2*4.72)*2/1000*1.03</f>
        <v>2.1391040000000004E-2</v>
      </c>
      <c r="I582" s="44"/>
      <c r="J582" s="45"/>
      <c r="K582" s="46"/>
      <c r="L582" s="17"/>
      <c r="M582" s="47"/>
      <c r="N582" s="18"/>
      <c r="O582" s="47"/>
      <c r="P582" s="17"/>
      <c r="Q582" s="47"/>
      <c r="R582" s="18"/>
      <c r="S582" s="48"/>
      <c r="T582" s="49"/>
      <c r="U582" s="48"/>
      <c r="V582" s="49"/>
      <c r="W582" s="29"/>
      <c r="X582" s="89" t="s">
        <v>127</v>
      </c>
      <c r="Y582" s="8"/>
      <c r="Z582" s="8"/>
      <c r="AA582" s="8"/>
      <c r="AB582" s="8"/>
      <c r="AC582" s="8"/>
    </row>
    <row r="583" spans="1:29" ht="28.5" hidden="1" customHeight="1" x14ac:dyDescent="0.2">
      <c r="A583" s="13" t="s">
        <v>9</v>
      </c>
      <c r="B583" s="111"/>
      <c r="C583" s="93" t="s">
        <v>36</v>
      </c>
      <c r="D583" s="40" t="s">
        <v>295</v>
      </c>
      <c r="E583" s="41" t="s">
        <v>345</v>
      </c>
      <c r="F583" s="40"/>
      <c r="G583" s="42" t="s">
        <v>110</v>
      </c>
      <c r="H583" s="43">
        <f>(1.91*5.02)*2/1000*1.03</f>
        <v>1.9751691999999998E-2</v>
      </c>
      <c r="I583" s="44"/>
      <c r="J583" s="45"/>
      <c r="K583" s="46"/>
      <c r="L583" s="17"/>
      <c r="M583" s="47"/>
      <c r="N583" s="18"/>
      <c r="O583" s="47"/>
      <c r="P583" s="17"/>
      <c r="Q583" s="47"/>
      <c r="R583" s="18"/>
      <c r="S583" s="48"/>
      <c r="T583" s="49"/>
      <c r="U583" s="48"/>
      <c r="V583" s="49"/>
      <c r="W583" s="29"/>
      <c r="X583" s="89" t="s">
        <v>127</v>
      </c>
      <c r="Y583" s="8"/>
      <c r="Z583" s="8"/>
      <c r="AA583" s="8"/>
      <c r="AB583" s="8"/>
      <c r="AC583" s="8"/>
    </row>
    <row r="584" spans="1:29" s="69" customFormat="1" ht="28.5" customHeight="1" x14ac:dyDescent="0.2">
      <c r="A584" s="66" t="s">
        <v>8</v>
      </c>
      <c r="B584" s="33" t="s">
        <v>424</v>
      </c>
      <c r="C584" s="23" t="s">
        <v>36</v>
      </c>
      <c r="D584" s="23" t="s">
        <v>295</v>
      </c>
      <c r="E584" s="24" t="s">
        <v>373</v>
      </c>
      <c r="F584" s="36"/>
      <c r="G584" s="37" t="s">
        <v>119</v>
      </c>
      <c r="H584" s="38">
        <f>H585/1.15</f>
        <v>3.48</v>
      </c>
      <c r="I584" s="25"/>
      <c r="J584" s="34"/>
      <c r="K584" s="32"/>
      <c r="L584" s="26"/>
      <c r="M584" s="67"/>
      <c r="N584" s="28"/>
      <c r="O584" s="67"/>
      <c r="P584" s="26"/>
      <c r="Q584" s="67"/>
      <c r="R584" s="28"/>
      <c r="S584" s="27"/>
      <c r="T584" s="28"/>
      <c r="U584" s="27"/>
      <c r="V584" s="28"/>
      <c r="W584" s="68"/>
      <c r="X584" s="88"/>
      <c r="Y584" s="88"/>
      <c r="Z584" s="88"/>
      <c r="AA584" s="88"/>
      <c r="AB584" s="88"/>
      <c r="AC584" s="88"/>
    </row>
    <row r="585" spans="1:29" ht="28.5" hidden="1" customHeight="1" x14ac:dyDescent="0.2">
      <c r="A585" s="13" t="s">
        <v>9</v>
      </c>
      <c r="B585" s="111"/>
      <c r="C585" s="93" t="s">
        <v>36</v>
      </c>
      <c r="D585" s="40" t="s">
        <v>295</v>
      </c>
      <c r="E585" s="41" t="s">
        <v>339</v>
      </c>
      <c r="F585" s="40"/>
      <c r="G585" s="42" t="s">
        <v>113</v>
      </c>
      <c r="H585" s="43">
        <f>1.74*1.15*2</f>
        <v>4.0019999999999998</v>
      </c>
      <c r="I585" s="44"/>
      <c r="J585" s="45"/>
      <c r="K585" s="46"/>
      <c r="L585" s="17"/>
      <c r="M585" s="47"/>
      <c r="N585" s="18"/>
      <c r="O585" s="47"/>
      <c r="P585" s="17"/>
      <c r="Q585" s="47"/>
      <c r="R585" s="18"/>
      <c r="S585" s="48"/>
      <c r="T585" s="49"/>
      <c r="U585" s="48"/>
      <c r="V585" s="49"/>
      <c r="W585" s="29"/>
      <c r="X585" s="89" t="s">
        <v>328</v>
      </c>
      <c r="Y585" s="8"/>
      <c r="Z585" s="8"/>
      <c r="AA585" s="8"/>
      <c r="AB585" s="8"/>
      <c r="AC585" s="8"/>
    </row>
    <row r="586" spans="1:29" ht="28.5" hidden="1" customHeight="1" x14ac:dyDescent="0.2">
      <c r="A586" s="13" t="s">
        <v>9</v>
      </c>
      <c r="B586" s="111"/>
      <c r="C586" s="93" t="s">
        <v>36</v>
      </c>
      <c r="D586" s="40" t="s">
        <v>295</v>
      </c>
      <c r="E586" s="41" t="s">
        <v>374</v>
      </c>
      <c r="F586" s="40"/>
      <c r="G586" s="42" t="s">
        <v>69</v>
      </c>
      <c r="H586" s="43">
        <f>H584*8</f>
        <v>27.84</v>
      </c>
      <c r="I586" s="44"/>
      <c r="J586" s="45"/>
      <c r="K586" s="46"/>
      <c r="L586" s="17"/>
      <c r="M586" s="47"/>
      <c r="N586" s="18"/>
      <c r="O586" s="47"/>
      <c r="P586" s="17"/>
      <c r="Q586" s="47"/>
      <c r="R586" s="18"/>
      <c r="S586" s="48"/>
      <c r="T586" s="49"/>
      <c r="U586" s="48"/>
      <c r="V586" s="49"/>
      <c r="W586" s="29"/>
      <c r="X586" s="89" t="s">
        <v>375</v>
      </c>
      <c r="Y586" s="8"/>
      <c r="Z586" s="8"/>
      <c r="AA586" s="8"/>
      <c r="AB586" s="8"/>
      <c r="AC586" s="8"/>
    </row>
    <row r="587" spans="1:29" s="85" customFormat="1" ht="28.5" customHeight="1" x14ac:dyDescent="0.2">
      <c r="A587" s="70" t="s">
        <v>14</v>
      </c>
      <c r="B587" s="71">
        <v>31</v>
      </c>
      <c r="C587" s="72" t="s">
        <v>36</v>
      </c>
      <c r="D587" s="75" t="s">
        <v>295</v>
      </c>
      <c r="E587" s="74" t="s">
        <v>306</v>
      </c>
      <c r="F587" s="75"/>
      <c r="G587" s="73" t="s">
        <v>69</v>
      </c>
      <c r="H587" s="76">
        <v>1</v>
      </c>
      <c r="I587" s="77"/>
      <c r="J587" s="76"/>
      <c r="K587" s="78"/>
      <c r="L587" s="79"/>
      <c r="M587" s="80"/>
      <c r="N587" s="81"/>
      <c r="O587" s="82"/>
      <c r="P587" s="79"/>
      <c r="Q587" s="80"/>
      <c r="R587" s="81"/>
      <c r="S587" s="80"/>
      <c r="T587" s="83"/>
      <c r="U587" s="84"/>
      <c r="V587" s="83"/>
    </row>
    <row r="588" spans="1:29" s="69" customFormat="1" ht="28.5" customHeight="1" x14ac:dyDescent="0.2">
      <c r="A588" s="66" t="s">
        <v>8</v>
      </c>
      <c r="B588" s="33" t="s">
        <v>425</v>
      </c>
      <c r="C588" s="23" t="s">
        <v>36</v>
      </c>
      <c r="D588" s="23" t="s">
        <v>295</v>
      </c>
      <c r="E588" s="24" t="s">
        <v>366</v>
      </c>
      <c r="F588" s="36"/>
      <c r="G588" s="37" t="s">
        <v>110</v>
      </c>
      <c r="H588" s="38">
        <f>SUM(H589:H593)/1.03</f>
        <v>0.61478579999999994</v>
      </c>
      <c r="I588" s="25"/>
      <c r="J588" s="34"/>
      <c r="K588" s="32"/>
      <c r="L588" s="26"/>
      <c r="M588" s="67"/>
      <c r="N588" s="28"/>
      <c r="O588" s="67"/>
      <c r="P588" s="26"/>
      <c r="Q588" s="67"/>
      <c r="R588" s="28"/>
      <c r="S588" s="27"/>
      <c r="T588" s="28"/>
      <c r="U588" s="27"/>
      <c r="V588" s="28"/>
      <c r="W588" s="68"/>
      <c r="X588" s="88"/>
      <c r="Y588" s="88"/>
      <c r="Z588" s="88"/>
      <c r="AA588" s="88"/>
      <c r="AB588" s="88"/>
      <c r="AC588" s="88"/>
    </row>
    <row r="589" spans="1:29" ht="28.5" hidden="1" customHeight="1" x14ac:dyDescent="0.2">
      <c r="A589" s="13" t="s">
        <v>9</v>
      </c>
      <c r="B589" s="111"/>
      <c r="C589" s="93" t="s">
        <v>36</v>
      </c>
      <c r="D589" s="40" t="s">
        <v>295</v>
      </c>
      <c r="E589" s="41" t="s">
        <v>320</v>
      </c>
      <c r="F589" s="40"/>
      <c r="G589" s="42" t="s">
        <v>110</v>
      </c>
      <c r="H589" s="43">
        <f>(7.8*10.79)*1/1000*1.03</f>
        <v>8.6686859999999991E-2</v>
      </c>
      <c r="I589" s="44"/>
      <c r="J589" s="45"/>
      <c r="K589" s="46"/>
      <c r="L589" s="17"/>
      <c r="M589" s="47"/>
      <c r="N589" s="18"/>
      <c r="O589" s="47"/>
      <c r="P589" s="17"/>
      <c r="Q589" s="47"/>
      <c r="R589" s="18"/>
      <c r="S589" s="48"/>
      <c r="T589" s="49"/>
      <c r="U589" s="48"/>
      <c r="V589" s="49"/>
      <c r="W589" s="29"/>
      <c r="X589" s="89" t="s">
        <v>127</v>
      </c>
      <c r="Y589" s="8"/>
      <c r="Z589" s="8"/>
      <c r="AA589" s="8"/>
      <c r="AB589" s="8"/>
      <c r="AC589" s="8"/>
    </row>
    <row r="590" spans="1:29" ht="28.5" hidden="1" customHeight="1" x14ac:dyDescent="0.2">
      <c r="A590" s="13" t="s">
        <v>9</v>
      </c>
      <c r="B590" s="111"/>
      <c r="C590" s="93" t="s">
        <v>36</v>
      </c>
      <c r="D590" s="40" t="s">
        <v>295</v>
      </c>
      <c r="E590" s="41" t="s">
        <v>321</v>
      </c>
      <c r="F590" s="40"/>
      <c r="G590" s="42" t="s">
        <v>110</v>
      </c>
      <c r="H590" s="43">
        <f>(51.36*6.39)*1/1000*1.03</f>
        <v>0.33803611199999994</v>
      </c>
      <c r="I590" s="44"/>
      <c r="J590" s="45"/>
      <c r="K590" s="46"/>
      <c r="L590" s="17"/>
      <c r="M590" s="47"/>
      <c r="N590" s="18"/>
      <c r="O590" s="47"/>
      <c r="P590" s="17"/>
      <c r="Q590" s="47"/>
      <c r="R590" s="18"/>
      <c r="S590" s="48"/>
      <c r="T590" s="49"/>
      <c r="U590" s="48"/>
      <c r="V590" s="49"/>
      <c r="W590" s="29"/>
      <c r="X590" s="89" t="s">
        <v>127</v>
      </c>
      <c r="Y590" s="8"/>
      <c r="Z590" s="8"/>
      <c r="AA590" s="8"/>
      <c r="AB590" s="8"/>
      <c r="AC590" s="8"/>
    </row>
    <row r="591" spans="1:29" ht="28.5" hidden="1" customHeight="1" x14ac:dyDescent="0.2">
      <c r="A591" s="13" t="s">
        <v>9</v>
      </c>
      <c r="B591" s="111"/>
      <c r="C591" s="93" t="s">
        <v>36</v>
      </c>
      <c r="D591" s="40" t="s">
        <v>295</v>
      </c>
      <c r="E591" s="41" t="s">
        <v>322</v>
      </c>
      <c r="F591" s="40"/>
      <c r="G591" s="42" t="s">
        <v>110</v>
      </c>
      <c r="H591" s="43">
        <f>((1.91*0.3)*12)*1/1000*1.03</f>
        <v>7.0822799999999998E-3</v>
      </c>
      <c r="I591" s="44"/>
      <c r="J591" s="45"/>
      <c r="K591" s="46"/>
      <c r="L591" s="17"/>
      <c r="M591" s="47"/>
      <c r="N591" s="18"/>
      <c r="O591" s="47"/>
      <c r="P591" s="17"/>
      <c r="Q591" s="47"/>
      <c r="R591" s="18"/>
      <c r="S591" s="48"/>
      <c r="T591" s="49"/>
      <c r="U591" s="48"/>
      <c r="V591" s="49"/>
      <c r="W591" s="29"/>
      <c r="X591" s="89" t="s">
        <v>127</v>
      </c>
      <c r="Y591" s="8"/>
      <c r="Z591" s="8"/>
      <c r="AA591" s="8"/>
      <c r="AB591" s="8"/>
      <c r="AC591" s="8"/>
    </row>
    <row r="592" spans="1:29" ht="28.5" hidden="1" customHeight="1" x14ac:dyDescent="0.2">
      <c r="A592" s="13" t="s">
        <v>9</v>
      </c>
      <c r="B592" s="111"/>
      <c r="C592" s="93" t="s">
        <v>36</v>
      </c>
      <c r="D592" s="40" t="s">
        <v>295</v>
      </c>
      <c r="E592" s="41" t="s">
        <v>323</v>
      </c>
      <c r="F592" s="40"/>
      <c r="G592" s="42" t="s">
        <v>110</v>
      </c>
      <c r="H592" s="43">
        <f>(2.35*56.88)*1/1000*1.03</f>
        <v>0.13767804</v>
      </c>
      <c r="I592" s="44"/>
      <c r="J592" s="45"/>
      <c r="K592" s="46"/>
      <c r="L592" s="17"/>
      <c r="M592" s="47"/>
      <c r="N592" s="18"/>
      <c r="O592" s="47"/>
      <c r="P592" s="17"/>
      <c r="Q592" s="47"/>
      <c r="R592" s="18"/>
      <c r="S592" s="48"/>
      <c r="T592" s="49"/>
      <c r="U592" s="48"/>
      <c r="V592" s="49"/>
      <c r="W592" s="29"/>
      <c r="X592" s="89" t="s">
        <v>127</v>
      </c>
      <c r="Y592" s="8"/>
      <c r="Z592" s="8"/>
      <c r="AA592" s="8"/>
      <c r="AB592" s="8"/>
      <c r="AC592" s="8"/>
    </row>
    <row r="593" spans="1:29" ht="28.5" hidden="1" customHeight="1" x14ac:dyDescent="0.2">
      <c r="A593" s="13" t="s">
        <v>9</v>
      </c>
      <c r="B593" s="111"/>
      <c r="C593" s="93" t="s">
        <v>36</v>
      </c>
      <c r="D593" s="40" t="s">
        <v>295</v>
      </c>
      <c r="E593" s="41" t="s">
        <v>347</v>
      </c>
      <c r="F593" s="40"/>
      <c r="G593" s="42" t="s">
        <v>110</v>
      </c>
      <c r="H593" s="43">
        <f>((0.73*3.6)*23.55)*1/1000*1.03</f>
        <v>6.3746082000000009E-2</v>
      </c>
      <c r="I593" s="44"/>
      <c r="J593" s="45"/>
      <c r="K593" s="46"/>
      <c r="L593" s="17"/>
      <c r="M593" s="47"/>
      <c r="N593" s="18"/>
      <c r="O593" s="47"/>
      <c r="P593" s="17"/>
      <c r="Q593" s="47"/>
      <c r="R593" s="18"/>
      <c r="S593" s="48"/>
      <c r="T593" s="49"/>
      <c r="U593" s="48"/>
      <c r="V593" s="49"/>
      <c r="W593" s="29"/>
      <c r="X593" s="89" t="s">
        <v>127</v>
      </c>
      <c r="Y593" s="8"/>
      <c r="Z593" s="8"/>
      <c r="AA593" s="8"/>
      <c r="AB593" s="8"/>
      <c r="AC593" s="8"/>
    </row>
    <row r="594" spans="1:29" s="69" customFormat="1" ht="38.25" x14ac:dyDescent="0.2">
      <c r="A594" s="66" t="s">
        <v>8</v>
      </c>
      <c r="B594" s="33" t="s">
        <v>426</v>
      </c>
      <c r="C594" s="23" t="s">
        <v>36</v>
      </c>
      <c r="D594" s="23" t="s">
        <v>295</v>
      </c>
      <c r="E594" s="24" t="s">
        <v>508</v>
      </c>
      <c r="F594" s="36"/>
      <c r="G594" s="37" t="s">
        <v>128</v>
      </c>
      <c r="H594" s="38">
        <f>SUM(H595:H596)/1.15</f>
        <v>1.0180000000000002</v>
      </c>
      <c r="I594" s="25"/>
      <c r="J594" s="34"/>
      <c r="K594" s="32"/>
      <c r="L594" s="26"/>
      <c r="M594" s="67"/>
      <c r="N594" s="28"/>
      <c r="O594" s="67"/>
      <c r="P594" s="26"/>
      <c r="Q594" s="67"/>
      <c r="R594" s="28"/>
      <c r="S594" s="27"/>
      <c r="T594" s="28"/>
      <c r="U594" s="27"/>
      <c r="V594" s="28"/>
      <c r="W594" s="68"/>
      <c r="X594" s="88"/>
      <c r="Y594" s="88"/>
      <c r="Z594" s="88"/>
      <c r="AA594" s="88"/>
      <c r="AB594" s="88"/>
      <c r="AC594" s="88"/>
    </row>
    <row r="595" spans="1:29" ht="28.5" hidden="1" customHeight="1" x14ac:dyDescent="0.2">
      <c r="A595" s="13" t="s">
        <v>9</v>
      </c>
      <c r="B595" s="111"/>
      <c r="C595" s="93" t="s">
        <v>36</v>
      </c>
      <c r="D595" s="40" t="s">
        <v>295</v>
      </c>
      <c r="E595" s="41" t="s">
        <v>325</v>
      </c>
      <c r="F595" s="40"/>
      <c r="G595" s="42" t="s">
        <v>107</v>
      </c>
      <c r="H595" s="43">
        <f>0.514*1.15*1</f>
        <v>0.59109999999999996</v>
      </c>
      <c r="I595" s="44"/>
      <c r="J595" s="45"/>
      <c r="K595" s="46"/>
      <c r="L595" s="17"/>
      <c r="M595" s="47"/>
      <c r="N595" s="18"/>
      <c r="O595" s="47"/>
      <c r="P595" s="17"/>
      <c r="Q595" s="47"/>
      <c r="R595" s="18"/>
      <c r="S595" s="48"/>
      <c r="T595" s="49"/>
      <c r="U595" s="48"/>
      <c r="V595" s="49"/>
      <c r="W595" s="29"/>
      <c r="X595" s="89" t="s">
        <v>170</v>
      </c>
      <c r="Y595" s="8"/>
      <c r="Z595" s="8"/>
      <c r="AA595" s="8"/>
      <c r="AB595" s="8"/>
      <c r="AC595" s="8"/>
    </row>
    <row r="596" spans="1:29" ht="28.5" hidden="1" customHeight="1" x14ac:dyDescent="0.2">
      <c r="A596" s="13" t="s">
        <v>9</v>
      </c>
      <c r="B596" s="111"/>
      <c r="C596" s="93" t="s">
        <v>36</v>
      </c>
      <c r="D596" s="40" t="s">
        <v>295</v>
      </c>
      <c r="E596" s="41" t="s">
        <v>326</v>
      </c>
      <c r="F596" s="40"/>
      <c r="G596" s="42" t="s">
        <v>107</v>
      </c>
      <c r="H596" s="43">
        <f>0.504*1.15*1</f>
        <v>0.5796</v>
      </c>
      <c r="I596" s="44"/>
      <c r="J596" s="45"/>
      <c r="K596" s="46"/>
      <c r="L596" s="17"/>
      <c r="M596" s="47"/>
      <c r="N596" s="18"/>
      <c r="O596" s="47"/>
      <c r="P596" s="17"/>
      <c r="Q596" s="47"/>
      <c r="R596" s="18"/>
      <c r="S596" s="48"/>
      <c r="T596" s="49"/>
      <c r="U596" s="48"/>
      <c r="V596" s="49"/>
      <c r="W596" s="29"/>
      <c r="X596" s="89" t="s">
        <v>170</v>
      </c>
      <c r="Y596" s="8"/>
      <c r="Z596" s="8"/>
      <c r="AA596" s="8"/>
      <c r="AB596" s="8"/>
      <c r="AC596" s="8"/>
    </row>
    <row r="597" spans="1:29" s="69" customFormat="1" ht="28.5" customHeight="1" x14ac:dyDescent="0.2">
      <c r="A597" s="66" t="s">
        <v>8</v>
      </c>
      <c r="B597" s="33" t="s">
        <v>427</v>
      </c>
      <c r="C597" s="23" t="s">
        <v>36</v>
      </c>
      <c r="D597" s="23" t="s">
        <v>295</v>
      </c>
      <c r="E597" s="24" t="s">
        <v>370</v>
      </c>
      <c r="F597" s="36"/>
      <c r="G597" s="37" t="s">
        <v>119</v>
      </c>
      <c r="H597" s="38">
        <f>H598/1.15</f>
        <v>33.81</v>
      </c>
      <c r="I597" s="25"/>
      <c r="J597" s="34"/>
      <c r="K597" s="32"/>
      <c r="L597" s="26"/>
      <c r="M597" s="67"/>
      <c r="N597" s="28"/>
      <c r="O597" s="67"/>
      <c r="P597" s="26"/>
      <c r="Q597" s="67"/>
      <c r="R597" s="28"/>
      <c r="S597" s="27"/>
      <c r="T597" s="28"/>
      <c r="U597" s="27"/>
      <c r="V597" s="28"/>
      <c r="W597" s="68"/>
      <c r="X597" s="114" t="s">
        <v>512</v>
      </c>
      <c r="Y597" s="114"/>
      <c r="Z597" s="114"/>
      <c r="AA597" s="88"/>
      <c r="AB597" s="88"/>
      <c r="AC597" s="88"/>
    </row>
    <row r="598" spans="1:29" ht="28.5" hidden="1" customHeight="1" x14ac:dyDescent="0.2">
      <c r="A598" s="13" t="s">
        <v>9</v>
      </c>
      <c r="B598" s="111"/>
      <c r="C598" s="93" t="s">
        <v>36</v>
      </c>
      <c r="D598" s="40" t="s">
        <v>295</v>
      </c>
      <c r="E598" s="41" t="s">
        <v>327</v>
      </c>
      <c r="F598" s="40"/>
      <c r="G598" s="42" t="s">
        <v>113</v>
      </c>
      <c r="H598" s="43">
        <f>33.81*1.15*1</f>
        <v>38.881500000000003</v>
      </c>
      <c r="I598" s="44"/>
      <c r="J598" s="45"/>
      <c r="K598" s="46"/>
      <c r="L598" s="17"/>
      <c r="M598" s="47"/>
      <c r="N598" s="18"/>
      <c r="O598" s="47"/>
      <c r="P598" s="17"/>
      <c r="Q598" s="47"/>
      <c r="R598" s="18"/>
      <c r="S598" s="48"/>
      <c r="T598" s="49"/>
      <c r="U598" s="48"/>
      <c r="V598" s="49"/>
      <c r="W598" s="29"/>
      <c r="X598" s="89" t="s">
        <v>328</v>
      </c>
      <c r="Y598" s="8"/>
      <c r="Z598" s="8"/>
      <c r="AA598" s="8"/>
      <c r="AB598" s="8"/>
      <c r="AC598" s="8"/>
    </row>
    <row r="599" spans="1:29" s="69" customFormat="1" ht="28.5" customHeight="1" x14ac:dyDescent="0.2">
      <c r="A599" s="66" t="s">
        <v>8</v>
      </c>
      <c r="B599" s="33" t="s">
        <v>428</v>
      </c>
      <c r="C599" s="23" t="s">
        <v>36</v>
      </c>
      <c r="D599" s="23" t="s">
        <v>295</v>
      </c>
      <c r="E599" s="24" t="s">
        <v>371</v>
      </c>
      <c r="F599" s="36"/>
      <c r="G599" s="37" t="s">
        <v>193</v>
      </c>
      <c r="H599" s="38">
        <f>H600/1.15</f>
        <v>7.8999999999999995</v>
      </c>
      <c r="I599" s="25"/>
      <c r="J599" s="34"/>
      <c r="K599" s="32"/>
      <c r="L599" s="26"/>
      <c r="M599" s="67"/>
      <c r="N599" s="28"/>
      <c r="O599" s="67"/>
      <c r="P599" s="26"/>
      <c r="Q599" s="67"/>
      <c r="R599" s="28"/>
      <c r="S599" s="27"/>
      <c r="T599" s="28"/>
      <c r="U599" s="27"/>
      <c r="V599" s="28"/>
      <c r="W599" s="68"/>
      <c r="X599" s="114" t="s">
        <v>510</v>
      </c>
      <c r="Y599" s="114"/>
      <c r="Z599" s="114"/>
      <c r="AA599" s="114"/>
      <c r="AB599" s="114"/>
      <c r="AC599" s="114"/>
    </row>
    <row r="600" spans="1:29" ht="28.5" hidden="1" customHeight="1" x14ac:dyDescent="0.2">
      <c r="A600" s="13" t="s">
        <v>9</v>
      </c>
      <c r="B600" s="111"/>
      <c r="C600" s="93" t="s">
        <v>36</v>
      </c>
      <c r="D600" s="40" t="s">
        <v>295</v>
      </c>
      <c r="E600" s="41" t="s">
        <v>329</v>
      </c>
      <c r="F600" s="40"/>
      <c r="G600" s="42" t="s">
        <v>193</v>
      </c>
      <c r="H600" s="43">
        <f>7.9*1.15*1</f>
        <v>9.0849999999999991</v>
      </c>
      <c r="I600" s="44"/>
      <c r="J600" s="45"/>
      <c r="K600" s="46"/>
      <c r="L600" s="17"/>
      <c r="M600" s="47"/>
      <c r="N600" s="18"/>
      <c r="O600" s="47"/>
      <c r="P600" s="17"/>
      <c r="Q600" s="47"/>
      <c r="R600" s="18"/>
      <c r="S600" s="48"/>
      <c r="T600" s="49"/>
      <c r="U600" s="48"/>
      <c r="V600" s="49"/>
      <c r="W600" s="29"/>
      <c r="X600" s="89" t="s">
        <v>330</v>
      </c>
      <c r="Y600" s="8"/>
      <c r="Z600" s="8"/>
      <c r="AA600" s="8"/>
      <c r="AB600" s="8"/>
      <c r="AC600" s="8"/>
    </row>
    <row r="601" spans="1:29" ht="28.5" hidden="1" customHeight="1" x14ac:dyDescent="0.2">
      <c r="A601" s="13" t="s">
        <v>9</v>
      </c>
      <c r="B601" s="111"/>
      <c r="C601" s="93" t="s">
        <v>36</v>
      </c>
      <c r="D601" s="40" t="s">
        <v>295</v>
      </c>
      <c r="E601" s="41" t="s">
        <v>191</v>
      </c>
      <c r="F601" s="40"/>
      <c r="G601" s="42" t="s">
        <v>69</v>
      </c>
      <c r="H601" s="112">
        <f>H599/0.2*1</f>
        <v>39.499999999999993</v>
      </c>
      <c r="I601" s="44"/>
      <c r="J601" s="45"/>
      <c r="K601" s="46"/>
      <c r="L601" s="17"/>
      <c r="M601" s="47"/>
      <c r="N601" s="18"/>
      <c r="O601" s="47"/>
      <c r="P601" s="17"/>
      <c r="Q601" s="47"/>
      <c r="R601" s="18"/>
      <c r="S601" s="48"/>
      <c r="T601" s="49"/>
      <c r="U601" s="48"/>
      <c r="V601" s="49"/>
      <c r="W601" s="29"/>
      <c r="X601" s="89" t="s">
        <v>333</v>
      </c>
      <c r="Y601" s="8"/>
      <c r="Z601" s="8"/>
      <c r="AA601" s="8"/>
      <c r="AB601" s="8"/>
      <c r="AC601" s="8"/>
    </row>
    <row r="602" spans="1:29" s="69" customFormat="1" ht="28.5" customHeight="1" x14ac:dyDescent="0.2">
      <c r="A602" s="66" t="s">
        <v>8</v>
      </c>
      <c r="B602" s="33" t="s">
        <v>429</v>
      </c>
      <c r="C602" s="23" t="s">
        <v>36</v>
      </c>
      <c r="D602" s="23" t="s">
        <v>295</v>
      </c>
      <c r="E602" s="24" t="s">
        <v>368</v>
      </c>
      <c r="F602" s="36"/>
      <c r="G602" s="37" t="s">
        <v>128</v>
      </c>
      <c r="H602" s="38">
        <f>H603/1.15</f>
        <v>2.6960000000000002</v>
      </c>
      <c r="I602" s="25"/>
      <c r="J602" s="34"/>
      <c r="K602" s="32"/>
      <c r="L602" s="26"/>
      <c r="M602" s="67"/>
      <c r="N602" s="28"/>
      <c r="O602" s="67"/>
      <c r="P602" s="26"/>
      <c r="Q602" s="67"/>
      <c r="R602" s="28"/>
      <c r="S602" s="27"/>
      <c r="T602" s="28"/>
      <c r="U602" s="27"/>
      <c r="V602" s="28"/>
      <c r="W602" s="68"/>
      <c r="X602" s="88"/>
      <c r="Y602" s="88"/>
      <c r="Z602" s="88"/>
      <c r="AA602" s="88"/>
      <c r="AB602" s="88"/>
      <c r="AC602" s="88"/>
    </row>
    <row r="603" spans="1:29" ht="28.5" hidden="1" customHeight="1" x14ac:dyDescent="0.2">
      <c r="A603" s="13" t="s">
        <v>9</v>
      </c>
      <c r="B603" s="111"/>
      <c r="C603" s="93" t="s">
        <v>36</v>
      </c>
      <c r="D603" s="40" t="s">
        <v>295</v>
      </c>
      <c r="E603" s="41" t="s">
        <v>331</v>
      </c>
      <c r="F603" s="40"/>
      <c r="G603" s="42" t="s">
        <v>107</v>
      </c>
      <c r="H603" s="43">
        <f>26.96*0.1*1.15*1</f>
        <v>3.1004</v>
      </c>
      <c r="I603" s="44"/>
      <c r="J603" s="45"/>
      <c r="K603" s="46"/>
      <c r="L603" s="17"/>
      <c r="M603" s="47"/>
      <c r="N603" s="18"/>
      <c r="O603" s="47"/>
      <c r="P603" s="17"/>
      <c r="Q603" s="47"/>
      <c r="R603" s="18"/>
      <c r="S603" s="48"/>
      <c r="T603" s="49"/>
      <c r="U603" s="48"/>
      <c r="V603" s="49"/>
      <c r="W603" s="29"/>
      <c r="X603" s="89" t="s">
        <v>330</v>
      </c>
      <c r="Y603" s="8"/>
      <c r="Z603" s="8"/>
      <c r="AA603" s="8"/>
      <c r="AB603" s="8"/>
      <c r="AC603" s="8"/>
    </row>
    <row r="604" spans="1:29" s="69" customFormat="1" ht="28.5" customHeight="1" x14ac:dyDescent="0.2">
      <c r="A604" s="66" t="s">
        <v>8</v>
      </c>
      <c r="B604" s="33" t="s">
        <v>430</v>
      </c>
      <c r="C604" s="23" t="s">
        <v>36</v>
      </c>
      <c r="D604" s="23" t="s">
        <v>295</v>
      </c>
      <c r="E604" s="24" t="s">
        <v>369</v>
      </c>
      <c r="F604" s="36"/>
      <c r="G604" s="37" t="s">
        <v>119</v>
      </c>
      <c r="H604" s="38">
        <f>H605/1.15</f>
        <v>26.96</v>
      </c>
      <c r="I604" s="25"/>
      <c r="J604" s="34"/>
      <c r="K604" s="32"/>
      <c r="L604" s="26"/>
      <c r="M604" s="67"/>
      <c r="N604" s="28"/>
      <c r="O604" s="67"/>
      <c r="P604" s="26"/>
      <c r="Q604" s="67"/>
      <c r="R604" s="28"/>
      <c r="S604" s="27"/>
      <c r="T604" s="28"/>
      <c r="U604" s="27"/>
      <c r="V604" s="28"/>
      <c r="W604" s="68"/>
      <c r="X604" s="88"/>
      <c r="Y604" s="88"/>
      <c r="Z604" s="88"/>
      <c r="AA604" s="88"/>
      <c r="AB604" s="88"/>
      <c r="AC604" s="88"/>
    </row>
    <row r="605" spans="1:29" ht="28.5" hidden="1" customHeight="1" x14ac:dyDescent="0.2">
      <c r="A605" s="13" t="s">
        <v>9</v>
      </c>
      <c r="B605" s="111"/>
      <c r="C605" s="93" t="s">
        <v>36</v>
      </c>
      <c r="D605" s="40" t="s">
        <v>295</v>
      </c>
      <c r="E605" s="41" t="s">
        <v>332</v>
      </c>
      <c r="F605" s="40"/>
      <c r="G605" s="42" t="s">
        <v>113</v>
      </c>
      <c r="H605" s="43">
        <f>26.96*1.15*1</f>
        <v>31.003999999999998</v>
      </c>
      <c r="I605" s="44"/>
      <c r="J605" s="45"/>
      <c r="K605" s="46"/>
      <c r="L605" s="17"/>
      <c r="M605" s="47"/>
      <c r="N605" s="18"/>
      <c r="O605" s="47"/>
      <c r="P605" s="17"/>
      <c r="Q605" s="47"/>
      <c r="R605" s="18"/>
      <c r="S605" s="48"/>
      <c r="T605" s="49"/>
      <c r="U605" s="48"/>
      <c r="V605" s="49"/>
      <c r="W605" s="29"/>
      <c r="X605" s="89" t="s">
        <v>328</v>
      </c>
      <c r="Y605" s="8"/>
      <c r="Z605" s="8"/>
      <c r="AA605" s="8"/>
      <c r="AB605" s="8"/>
      <c r="AC605" s="8"/>
    </row>
    <row r="606" spans="1:29" s="85" customFormat="1" ht="28.5" customHeight="1" x14ac:dyDescent="0.2">
      <c r="A606" s="70" t="s">
        <v>14</v>
      </c>
      <c r="B606" s="71">
        <v>32</v>
      </c>
      <c r="C606" s="72" t="s">
        <v>36</v>
      </c>
      <c r="D606" s="75" t="s">
        <v>295</v>
      </c>
      <c r="E606" s="74" t="s">
        <v>316</v>
      </c>
      <c r="F606" s="75"/>
      <c r="G606" s="73" t="s">
        <v>69</v>
      </c>
      <c r="H606" s="76">
        <v>1</v>
      </c>
      <c r="I606" s="77"/>
      <c r="J606" s="76"/>
      <c r="K606" s="78"/>
      <c r="L606" s="79"/>
      <c r="M606" s="80"/>
      <c r="N606" s="81"/>
      <c r="O606" s="82"/>
      <c r="P606" s="79"/>
      <c r="Q606" s="80"/>
      <c r="R606" s="81"/>
      <c r="S606" s="80"/>
      <c r="T606" s="83"/>
      <c r="U606" s="84"/>
      <c r="V606" s="83"/>
    </row>
    <row r="607" spans="1:29" s="69" customFormat="1" ht="28.5" customHeight="1" x14ac:dyDescent="0.2">
      <c r="A607" s="66" t="s">
        <v>8</v>
      </c>
      <c r="B607" s="33" t="s">
        <v>431</v>
      </c>
      <c r="C607" s="23" t="s">
        <v>36</v>
      </c>
      <c r="D607" s="23" t="s">
        <v>295</v>
      </c>
      <c r="E607" s="24" t="s">
        <v>367</v>
      </c>
      <c r="F607" s="36"/>
      <c r="G607" s="37" t="s">
        <v>110</v>
      </c>
      <c r="H607" s="38">
        <f>SUM(H608:H612)/1.03</f>
        <v>5.8058400000000003E-2</v>
      </c>
      <c r="I607" s="25"/>
      <c r="J607" s="34"/>
      <c r="K607" s="32"/>
      <c r="L607" s="26"/>
      <c r="M607" s="67"/>
      <c r="N607" s="28"/>
      <c r="O607" s="67"/>
      <c r="P607" s="26"/>
      <c r="Q607" s="67"/>
      <c r="R607" s="28"/>
      <c r="S607" s="27"/>
      <c r="T607" s="28"/>
      <c r="U607" s="27"/>
      <c r="V607" s="28"/>
      <c r="W607" s="68"/>
      <c r="X607" s="88"/>
      <c r="Y607" s="88"/>
      <c r="Z607" s="88"/>
      <c r="AA607" s="88"/>
      <c r="AB607" s="88"/>
      <c r="AC607" s="88"/>
    </row>
    <row r="608" spans="1:29" ht="28.5" hidden="1" customHeight="1" x14ac:dyDescent="0.2">
      <c r="A608" s="13" t="s">
        <v>9</v>
      </c>
      <c r="B608" s="111"/>
      <c r="C608" s="93" t="s">
        <v>36</v>
      </c>
      <c r="D608" s="40" t="s">
        <v>295</v>
      </c>
      <c r="E608" s="41" t="s">
        <v>335</v>
      </c>
      <c r="F608" s="40"/>
      <c r="G608" s="42" t="s">
        <v>110</v>
      </c>
      <c r="H608" s="113">
        <f>((0.94*0.38)*6)*1/1000*1.03</f>
        <v>2.2074959999999998E-3</v>
      </c>
      <c r="I608" s="44"/>
      <c r="J608" s="45"/>
      <c r="K608" s="46"/>
      <c r="L608" s="17"/>
      <c r="M608" s="47"/>
      <c r="N608" s="18"/>
      <c r="O608" s="47"/>
      <c r="P608" s="17"/>
      <c r="Q608" s="47"/>
      <c r="R608" s="18"/>
      <c r="S608" s="48"/>
      <c r="T608" s="49"/>
      <c r="U608" s="48"/>
      <c r="V608" s="49"/>
      <c r="W608" s="29"/>
      <c r="X608" s="89" t="s">
        <v>127</v>
      </c>
      <c r="Y608" s="8"/>
      <c r="Z608" s="8"/>
      <c r="AA608" s="8"/>
      <c r="AB608" s="8"/>
      <c r="AC608" s="8"/>
    </row>
    <row r="609" spans="1:29" ht="28.5" hidden="1" customHeight="1" x14ac:dyDescent="0.2">
      <c r="A609" s="13" t="s">
        <v>9</v>
      </c>
      <c r="B609" s="111"/>
      <c r="C609" s="93" t="s">
        <v>36</v>
      </c>
      <c r="D609" s="40" t="s">
        <v>295</v>
      </c>
      <c r="E609" s="41" t="s">
        <v>336</v>
      </c>
      <c r="F609" s="40"/>
      <c r="G609" s="42" t="s">
        <v>110</v>
      </c>
      <c r="H609" s="113">
        <f>(0.94*3.96)*1/1000*1.03</f>
        <v>3.834072E-3</v>
      </c>
      <c r="I609" s="44"/>
      <c r="J609" s="45"/>
      <c r="K609" s="46"/>
      <c r="L609" s="17"/>
      <c r="M609" s="47"/>
      <c r="N609" s="18"/>
      <c r="O609" s="47"/>
      <c r="P609" s="17"/>
      <c r="Q609" s="47"/>
      <c r="R609" s="18"/>
      <c r="S609" s="48"/>
      <c r="T609" s="49"/>
      <c r="U609" s="48"/>
      <c r="V609" s="49"/>
      <c r="W609" s="29"/>
      <c r="X609" s="89" t="s">
        <v>127</v>
      </c>
      <c r="Y609" s="8"/>
      <c r="Z609" s="8"/>
      <c r="AA609" s="8"/>
      <c r="AB609" s="8"/>
      <c r="AC609" s="8"/>
    </row>
    <row r="610" spans="1:29" ht="28.5" hidden="1" customHeight="1" x14ac:dyDescent="0.2">
      <c r="A610" s="13" t="s">
        <v>9</v>
      </c>
      <c r="B610" s="111"/>
      <c r="C610" s="93" t="s">
        <v>36</v>
      </c>
      <c r="D610" s="40" t="s">
        <v>295</v>
      </c>
      <c r="E610" s="41" t="s">
        <v>337</v>
      </c>
      <c r="F610" s="40"/>
      <c r="G610" s="42" t="s">
        <v>110</v>
      </c>
      <c r="H610" s="113">
        <f>(0.94*8)*1/1000*1.03</f>
        <v>7.7456000000000001E-3</v>
      </c>
      <c r="I610" s="44"/>
      <c r="J610" s="45"/>
      <c r="K610" s="46"/>
      <c r="L610" s="17"/>
      <c r="M610" s="47"/>
      <c r="N610" s="18"/>
      <c r="O610" s="47"/>
      <c r="P610" s="17"/>
      <c r="Q610" s="47"/>
      <c r="R610" s="18"/>
      <c r="S610" s="48"/>
      <c r="T610" s="49"/>
      <c r="U610" s="48"/>
      <c r="V610" s="49"/>
      <c r="W610" s="29"/>
      <c r="X610" s="89" t="s">
        <v>127</v>
      </c>
      <c r="Y610" s="8"/>
      <c r="Z610" s="8"/>
      <c r="AA610" s="8"/>
      <c r="AB610" s="8"/>
      <c r="AC610" s="8"/>
    </row>
    <row r="611" spans="1:29" ht="28.5" hidden="1" customHeight="1" x14ac:dyDescent="0.2">
      <c r="A611" s="13" t="s">
        <v>9</v>
      </c>
      <c r="B611" s="111"/>
      <c r="C611" s="93" t="s">
        <v>36</v>
      </c>
      <c r="D611" s="40" t="s">
        <v>295</v>
      </c>
      <c r="E611" s="41" t="s">
        <v>338</v>
      </c>
      <c r="F611" s="40"/>
      <c r="G611" s="42" t="s">
        <v>110</v>
      </c>
      <c r="H611" s="43">
        <f>(2.2*7.04)*1/1000*1.03</f>
        <v>1.5952640000000001E-2</v>
      </c>
      <c r="I611" s="44"/>
      <c r="J611" s="45"/>
      <c r="K611" s="46"/>
      <c r="L611" s="17"/>
      <c r="M611" s="47"/>
      <c r="N611" s="18"/>
      <c r="O611" s="47"/>
      <c r="P611" s="17"/>
      <c r="Q611" s="47"/>
      <c r="R611" s="18"/>
      <c r="S611" s="48"/>
      <c r="T611" s="49"/>
      <c r="U611" s="48"/>
      <c r="V611" s="49"/>
      <c r="W611" s="29"/>
      <c r="X611" s="89" t="s">
        <v>127</v>
      </c>
      <c r="Y611" s="8"/>
      <c r="Z611" s="8"/>
      <c r="AA611" s="8"/>
      <c r="AB611" s="8"/>
      <c r="AC611" s="8"/>
    </row>
    <row r="612" spans="1:29" ht="28.5" hidden="1" customHeight="1" x14ac:dyDescent="0.2">
      <c r="A612" s="13" t="s">
        <v>9</v>
      </c>
      <c r="B612" s="111"/>
      <c r="C612" s="93" t="s">
        <v>36</v>
      </c>
      <c r="D612" s="40" t="s">
        <v>295</v>
      </c>
      <c r="E612" s="41" t="s">
        <v>345</v>
      </c>
      <c r="F612" s="40"/>
      <c r="G612" s="42" t="s">
        <v>110</v>
      </c>
      <c r="H612" s="43">
        <f>(1.91*15.28)*1/1000*1.03</f>
        <v>3.0060344000000003E-2</v>
      </c>
      <c r="I612" s="44"/>
      <c r="J612" s="45"/>
      <c r="K612" s="46"/>
      <c r="L612" s="17"/>
      <c r="M612" s="47"/>
      <c r="N612" s="18"/>
      <c r="O612" s="47"/>
      <c r="P612" s="17"/>
      <c r="Q612" s="47"/>
      <c r="R612" s="18"/>
      <c r="S612" s="48"/>
      <c r="T612" s="49"/>
      <c r="U612" s="48"/>
      <c r="V612" s="49"/>
      <c r="W612" s="29"/>
      <c r="X612" s="89" t="s">
        <v>127</v>
      </c>
      <c r="Y612" s="8"/>
      <c r="Z612" s="8"/>
      <c r="AA612" s="8"/>
      <c r="AB612" s="8"/>
      <c r="AC612" s="8"/>
    </row>
    <row r="613" spans="1:29" s="69" customFormat="1" ht="28.5" customHeight="1" x14ac:dyDescent="0.2">
      <c r="A613" s="66" t="s">
        <v>8</v>
      </c>
      <c r="B613" s="33" t="s">
        <v>431</v>
      </c>
      <c r="C613" s="23" t="s">
        <v>36</v>
      </c>
      <c r="D613" s="23" t="s">
        <v>295</v>
      </c>
      <c r="E613" s="24" t="s">
        <v>373</v>
      </c>
      <c r="F613" s="36"/>
      <c r="G613" s="37" t="s">
        <v>119</v>
      </c>
      <c r="H613" s="38">
        <f>H614/1.15</f>
        <v>2.7</v>
      </c>
      <c r="I613" s="25"/>
      <c r="J613" s="34"/>
      <c r="K613" s="32"/>
      <c r="L613" s="26"/>
      <c r="M613" s="67"/>
      <c r="N613" s="28"/>
      <c r="O613" s="67"/>
      <c r="P613" s="26"/>
      <c r="Q613" s="67"/>
      <c r="R613" s="28"/>
      <c r="S613" s="27"/>
      <c r="T613" s="28"/>
      <c r="U613" s="27"/>
      <c r="V613" s="28"/>
      <c r="W613" s="68"/>
      <c r="X613" s="88"/>
      <c r="Y613" s="88"/>
      <c r="Z613" s="88"/>
      <c r="AA613" s="88"/>
      <c r="AB613" s="88"/>
      <c r="AC613" s="88"/>
    </row>
    <row r="614" spans="1:29" ht="28.5" hidden="1" customHeight="1" x14ac:dyDescent="0.2">
      <c r="A614" s="13" t="s">
        <v>9</v>
      </c>
      <c r="B614" s="111"/>
      <c r="C614" s="93" t="s">
        <v>36</v>
      </c>
      <c r="D614" s="40" t="s">
        <v>295</v>
      </c>
      <c r="E614" s="41" t="s">
        <v>339</v>
      </c>
      <c r="F614" s="40"/>
      <c r="G614" s="42" t="s">
        <v>113</v>
      </c>
      <c r="H614" s="43">
        <f>2.7*1.15*1</f>
        <v>3.105</v>
      </c>
      <c r="I614" s="44"/>
      <c r="J614" s="45"/>
      <c r="K614" s="46"/>
      <c r="L614" s="17"/>
      <c r="M614" s="47"/>
      <c r="N614" s="18"/>
      <c r="O614" s="47"/>
      <c r="P614" s="17"/>
      <c r="Q614" s="47"/>
      <c r="R614" s="18"/>
      <c r="S614" s="48"/>
      <c r="T614" s="49"/>
      <c r="U614" s="48"/>
      <c r="V614" s="49"/>
      <c r="W614" s="29"/>
      <c r="X614" s="89" t="s">
        <v>328</v>
      </c>
      <c r="Y614" s="8"/>
      <c r="Z614" s="8"/>
      <c r="AA614" s="8"/>
      <c r="AB614" s="8"/>
      <c r="AC614" s="8"/>
    </row>
    <row r="615" spans="1:29" ht="28.5" hidden="1" customHeight="1" x14ac:dyDescent="0.2">
      <c r="A615" s="13" t="s">
        <v>9</v>
      </c>
      <c r="B615" s="111"/>
      <c r="C615" s="93" t="s">
        <v>36</v>
      </c>
      <c r="D615" s="40" t="s">
        <v>295</v>
      </c>
      <c r="E615" s="41" t="s">
        <v>374</v>
      </c>
      <c r="F615" s="40"/>
      <c r="G615" s="42" t="s">
        <v>69</v>
      </c>
      <c r="H615" s="43">
        <f>H613*8</f>
        <v>21.6</v>
      </c>
      <c r="I615" s="44"/>
      <c r="J615" s="45"/>
      <c r="K615" s="46"/>
      <c r="L615" s="17"/>
      <c r="M615" s="47"/>
      <c r="N615" s="18"/>
      <c r="O615" s="47"/>
      <c r="P615" s="17"/>
      <c r="Q615" s="47"/>
      <c r="R615" s="18"/>
      <c r="S615" s="48"/>
      <c r="T615" s="49"/>
      <c r="U615" s="48"/>
      <c r="V615" s="49"/>
      <c r="W615" s="29"/>
      <c r="X615" s="89" t="s">
        <v>375</v>
      </c>
      <c r="Y615" s="8"/>
      <c r="Z615" s="8"/>
      <c r="AA615" s="8"/>
      <c r="AB615" s="8"/>
      <c r="AC615" s="8"/>
    </row>
    <row r="616" spans="1:29" s="85" customFormat="1" ht="28.5" customHeight="1" x14ac:dyDescent="0.2">
      <c r="A616" s="70" t="s">
        <v>14</v>
      </c>
      <c r="B616" s="71">
        <v>33</v>
      </c>
      <c r="C616" s="72" t="s">
        <v>36</v>
      </c>
      <c r="D616" s="75" t="s">
        <v>295</v>
      </c>
      <c r="E616" s="74" t="s">
        <v>307</v>
      </c>
      <c r="F616" s="75"/>
      <c r="G616" s="73" t="s">
        <v>69</v>
      </c>
      <c r="H616" s="76">
        <v>2</v>
      </c>
      <c r="I616" s="77"/>
      <c r="J616" s="76"/>
      <c r="K616" s="78"/>
      <c r="L616" s="79"/>
      <c r="M616" s="80"/>
      <c r="N616" s="81"/>
      <c r="O616" s="82"/>
      <c r="P616" s="79"/>
      <c r="Q616" s="80"/>
      <c r="R616" s="81"/>
      <c r="S616" s="80"/>
      <c r="T616" s="83"/>
      <c r="U616" s="84"/>
      <c r="V616" s="83"/>
    </row>
    <row r="617" spans="1:29" s="69" customFormat="1" ht="28.5" customHeight="1" x14ac:dyDescent="0.2">
      <c r="A617" s="66" t="s">
        <v>8</v>
      </c>
      <c r="B617" s="33" t="s">
        <v>434</v>
      </c>
      <c r="C617" s="23" t="s">
        <v>36</v>
      </c>
      <c r="D617" s="23" t="s">
        <v>295</v>
      </c>
      <c r="E617" s="24" t="s">
        <v>366</v>
      </c>
      <c r="F617" s="36"/>
      <c r="G617" s="37" t="s">
        <v>110</v>
      </c>
      <c r="H617" s="38">
        <f>SUM(H618:H622)/1.03</f>
        <v>1.2737532</v>
      </c>
      <c r="I617" s="25"/>
      <c r="J617" s="34"/>
      <c r="K617" s="32"/>
      <c r="L617" s="26"/>
      <c r="M617" s="67"/>
      <c r="N617" s="28"/>
      <c r="O617" s="67"/>
      <c r="P617" s="26"/>
      <c r="Q617" s="67"/>
      <c r="R617" s="28"/>
      <c r="S617" s="27"/>
      <c r="T617" s="28"/>
      <c r="U617" s="27"/>
      <c r="V617" s="28"/>
      <c r="W617" s="68"/>
      <c r="X617" s="88"/>
      <c r="Y617" s="88"/>
      <c r="Z617" s="88"/>
      <c r="AA617" s="88"/>
      <c r="AB617" s="88"/>
      <c r="AC617" s="88"/>
    </row>
    <row r="618" spans="1:29" ht="28.5" hidden="1" customHeight="1" x14ac:dyDescent="0.2">
      <c r="A618" s="13" t="s">
        <v>9</v>
      </c>
      <c r="B618" s="111"/>
      <c r="C618" s="93" t="s">
        <v>36</v>
      </c>
      <c r="D618" s="40" t="s">
        <v>295</v>
      </c>
      <c r="E618" s="41" t="s">
        <v>320</v>
      </c>
      <c r="F618" s="40"/>
      <c r="G618" s="42" t="s">
        <v>110</v>
      </c>
      <c r="H618" s="43">
        <f>(7.62*10.79)*2/1000*1.03</f>
        <v>0.169372788</v>
      </c>
      <c r="I618" s="44"/>
      <c r="J618" s="45"/>
      <c r="K618" s="46"/>
      <c r="L618" s="17"/>
      <c r="M618" s="47"/>
      <c r="N618" s="18"/>
      <c r="O618" s="47"/>
      <c r="P618" s="17"/>
      <c r="Q618" s="47"/>
      <c r="R618" s="18"/>
      <c r="S618" s="48"/>
      <c r="T618" s="49"/>
      <c r="U618" s="48"/>
      <c r="V618" s="49"/>
      <c r="W618" s="29"/>
      <c r="X618" s="89" t="s">
        <v>127</v>
      </c>
      <c r="Y618" s="8"/>
      <c r="Z618" s="8"/>
      <c r="AA618" s="8"/>
      <c r="AB618" s="8"/>
      <c r="AC618" s="8"/>
    </row>
    <row r="619" spans="1:29" ht="28.5" hidden="1" customHeight="1" x14ac:dyDescent="0.2">
      <c r="A619" s="13" t="s">
        <v>9</v>
      </c>
      <c r="B619" s="111"/>
      <c r="C619" s="93" t="s">
        <v>36</v>
      </c>
      <c r="D619" s="40" t="s">
        <v>295</v>
      </c>
      <c r="E619" s="41" t="s">
        <v>321</v>
      </c>
      <c r="F619" s="40"/>
      <c r="G619" s="42" t="s">
        <v>110</v>
      </c>
      <c r="H619" s="43">
        <f>(51.36*6.39)*2/1000*1.03</f>
        <v>0.67607222399999989</v>
      </c>
      <c r="I619" s="44"/>
      <c r="J619" s="45"/>
      <c r="K619" s="46"/>
      <c r="L619" s="17"/>
      <c r="M619" s="47"/>
      <c r="N619" s="18"/>
      <c r="O619" s="47"/>
      <c r="P619" s="17"/>
      <c r="Q619" s="47"/>
      <c r="R619" s="18"/>
      <c r="S619" s="48"/>
      <c r="T619" s="49"/>
      <c r="U619" s="48"/>
      <c r="V619" s="49"/>
      <c r="W619" s="29"/>
      <c r="X619" s="89" t="s">
        <v>127</v>
      </c>
      <c r="Y619" s="8"/>
      <c r="Z619" s="8"/>
      <c r="AA619" s="8"/>
      <c r="AB619" s="8"/>
      <c r="AC619" s="8"/>
    </row>
    <row r="620" spans="1:29" ht="28.5" hidden="1" customHeight="1" x14ac:dyDescent="0.2">
      <c r="A620" s="13" t="s">
        <v>9</v>
      </c>
      <c r="B620" s="111"/>
      <c r="C620" s="93" t="s">
        <v>36</v>
      </c>
      <c r="D620" s="40" t="s">
        <v>295</v>
      </c>
      <c r="E620" s="41" t="s">
        <v>322</v>
      </c>
      <c r="F620" s="40"/>
      <c r="G620" s="42" t="s">
        <v>110</v>
      </c>
      <c r="H620" s="43">
        <f>((1.91*0.3)*12)*2/1000*1.03</f>
        <v>1.416456E-2</v>
      </c>
      <c r="I620" s="44"/>
      <c r="J620" s="45"/>
      <c r="K620" s="46"/>
      <c r="L620" s="17"/>
      <c r="M620" s="47"/>
      <c r="N620" s="18"/>
      <c r="O620" s="47"/>
      <c r="P620" s="17"/>
      <c r="Q620" s="47"/>
      <c r="R620" s="18"/>
      <c r="S620" s="48"/>
      <c r="T620" s="49"/>
      <c r="U620" s="48"/>
      <c r="V620" s="49"/>
      <c r="W620" s="29"/>
      <c r="X620" s="89" t="s">
        <v>127</v>
      </c>
      <c r="Y620" s="8"/>
      <c r="Z620" s="8"/>
      <c r="AA620" s="8"/>
      <c r="AB620" s="8"/>
      <c r="AC620" s="8"/>
    </row>
    <row r="621" spans="1:29" ht="28.5" hidden="1" customHeight="1" x14ac:dyDescent="0.2">
      <c r="A621" s="13" t="s">
        <v>9</v>
      </c>
      <c r="B621" s="111"/>
      <c r="C621" s="93" t="s">
        <v>36</v>
      </c>
      <c r="D621" s="40" t="s">
        <v>295</v>
      </c>
      <c r="E621" s="41" t="s">
        <v>323</v>
      </c>
      <c r="F621" s="40"/>
      <c r="G621" s="42" t="s">
        <v>110</v>
      </c>
      <c r="H621" s="43">
        <f>(2.35*54.48)*2/1000*1.03</f>
        <v>0.26373768000000003</v>
      </c>
      <c r="I621" s="44"/>
      <c r="J621" s="45"/>
      <c r="K621" s="46"/>
      <c r="L621" s="17"/>
      <c r="M621" s="47"/>
      <c r="N621" s="18"/>
      <c r="O621" s="47"/>
      <c r="P621" s="17"/>
      <c r="Q621" s="47"/>
      <c r="R621" s="18"/>
      <c r="S621" s="48"/>
      <c r="T621" s="49"/>
      <c r="U621" s="48"/>
      <c r="V621" s="49"/>
      <c r="W621" s="29"/>
      <c r="X621" s="89" t="s">
        <v>127</v>
      </c>
      <c r="Y621" s="8"/>
      <c r="Z621" s="8"/>
      <c r="AA621" s="8"/>
      <c r="AB621" s="8"/>
      <c r="AC621" s="8"/>
    </row>
    <row r="622" spans="1:29" ht="28.5" hidden="1" customHeight="1" x14ac:dyDescent="0.2">
      <c r="A622" s="13" t="s">
        <v>9</v>
      </c>
      <c r="B622" s="111"/>
      <c r="C622" s="93" t="s">
        <v>36</v>
      </c>
      <c r="D622" s="40" t="s">
        <v>295</v>
      </c>
      <c r="E622" s="41" t="s">
        <v>348</v>
      </c>
      <c r="F622" s="40"/>
      <c r="G622" s="42" t="s">
        <v>110</v>
      </c>
      <c r="H622" s="43">
        <f>((2.7*1.44)*23.55)*2/1000*1.03</f>
        <v>0.188618544</v>
      </c>
      <c r="I622" s="44"/>
      <c r="J622" s="45"/>
      <c r="K622" s="46"/>
      <c r="L622" s="17"/>
      <c r="M622" s="47"/>
      <c r="N622" s="18"/>
      <c r="O622" s="47"/>
      <c r="P622" s="17"/>
      <c r="Q622" s="47"/>
      <c r="R622" s="18"/>
      <c r="S622" s="48"/>
      <c r="T622" s="49"/>
      <c r="U622" s="48"/>
      <c r="V622" s="49"/>
      <c r="W622" s="29"/>
      <c r="X622" s="89" t="s">
        <v>127</v>
      </c>
      <c r="Y622" s="8"/>
      <c r="Z622" s="8"/>
      <c r="AA622" s="8"/>
      <c r="AB622" s="8"/>
      <c r="AC622" s="8"/>
    </row>
    <row r="623" spans="1:29" s="69" customFormat="1" ht="38.25" x14ac:dyDescent="0.2">
      <c r="A623" s="66" t="s">
        <v>8</v>
      </c>
      <c r="B623" s="33" t="s">
        <v>435</v>
      </c>
      <c r="C623" s="23" t="s">
        <v>36</v>
      </c>
      <c r="D623" s="23" t="s">
        <v>295</v>
      </c>
      <c r="E623" s="24" t="s">
        <v>508</v>
      </c>
      <c r="F623" s="36"/>
      <c r="G623" s="37" t="s">
        <v>128</v>
      </c>
      <c r="H623" s="38">
        <f>SUM(H624:H625)/1.15</f>
        <v>1.8599999999999999</v>
      </c>
      <c r="I623" s="25"/>
      <c r="J623" s="34"/>
      <c r="K623" s="32"/>
      <c r="L623" s="26"/>
      <c r="M623" s="67"/>
      <c r="N623" s="28"/>
      <c r="O623" s="67"/>
      <c r="P623" s="26"/>
      <c r="Q623" s="67"/>
      <c r="R623" s="28"/>
      <c r="S623" s="27"/>
      <c r="T623" s="28"/>
      <c r="U623" s="27"/>
      <c r="V623" s="28"/>
      <c r="W623" s="68"/>
      <c r="X623" s="88"/>
      <c r="Y623" s="88"/>
      <c r="Z623" s="88"/>
      <c r="AA623" s="88"/>
      <c r="AB623" s="88"/>
      <c r="AC623" s="88"/>
    </row>
    <row r="624" spans="1:29" ht="28.5" hidden="1" customHeight="1" x14ac:dyDescent="0.2">
      <c r="A624" s="13" t="s">
        <v>9</v>
      </c>
      <c r="B624" s="111"/>
      <c r="C624" s="93" t="s">
        <v>36</v>
      </c>
      <c r="D624" s="40" t="s">
        <v>295</v>
      </c>
      <c r="E624" s="41" t="s">
        <v>325</v>
      </c>
      <c r="F624" s="40"/>
      <c r="G624" s="42" t="s">
        <v>107</v>
      </c>
      <c r="H624" s="43">
        <f>0.514*1.15*2</f>
        <v>1.1821999999999999</v>
      </c>
      <c r="I624" s="44"/>
      <c r="J624" s="45"/>
      <c r="K624" s="46"/>
      <c r="L624" s="17"/>
      <c r="M624" s="47"/>
      <c r="N624" s="18"/>
      <c r="O624" s="47"/>
      <c r="P624" s="17"/>
      <c r="Q624" s="47"/>
      <c r="R624" s="18"/>
      <c r="S624" s="48"/>
      <c r="T624" s="49"/>
      <c r="U624" s="48"/>
      <c r="V624" s="49"/>
      <c r="W624" s="29"/>
      <c r="X624" s="89" t="s">
        <v>170</v>
      </c>
      <c r="Y624" s="8"/>
      <c r="Z624" s="8"/>
      <c r="AA624" s="8"/>
      <c r="AB624" s="8"/>
      <c r="AC624" s="8"/>
    </row>
    <row r="625" spans="1:29" ht="28.5" hidden="1" customHeight="1" x14ac:dyDescent="0.2">
      <c r="A625" s="13" t="s">
        <v>9</v>
      </c>
      <c r="B625" s="111"/>
      <c r="C625" s="93" t="s">
        <v>36</v>
      </c>
      <c r="D625" s="40" t="s">
        <v>295</v>
      </c>
      <c r="E625" s="41" t="s">
        <v>326</v>
      </c>
      <c r="F625" s="40"/>
      <c r="G625" s="42" t="s">
        <v>107</v>
      </c>
      <c r="H625" s="43">
        <f>0.416*1.15*2</f>
        <v>0.95679999999999987</v>
      </c>
      <c r="I625" s="44"/>
      <c r="J625" s="45"/>
      <c r="K625" s="46"/>
      <c r="L625" s="17"/>
      <c r="M625" s="47"/>
      <c r="N625" s="18"/>
      <c r="O625" s="47"/>
      <c r="P625" s="17"/>
      <c r="Q625" s="47"/>
      <c r="R625" s="18"/>
      <c r="S625" s="48"/>
      <c r="T625" s="49"/>
      <c r="U625" s="48"/>
      <c r="V625" s="49"/>
      <c r="W625" s="29"/>
      <c r="X625" s="89" t="s">
        <v>170</v>
      </c>
      <c r="Y625" s="8"/>
      <c r="Z625" s="8"/>
      <c r="AA625" s="8"/>
      <c r="AB625" s="8"/>
      <c r="AC625" s="8"/>
    </row>
    <row r="626" spans="1:29" s="69" customFormat="1" ht="28.5" customHeight="1" x14ac:dyDescent="0.2">
      <c r="A626" s="66" t="s">
        <v>8</v>
      </c>
      <c r="B626" s="33" t="s">
        <v>436</v>
      </c>
      <c r="C626" s="23" t="s">
        <v>36</v>
      </c>
      <c r="D626" s="23" t="s">
        <v>295</v>
      </c>
      <c r="E626" s="24" t="s">
        <v>370</v>
      </c>
      <c r="F626" s="36"/>
      <c r="G626" s="37" t="s">
        <v>119</v>
      </c>
      <c r="H626" s="38">
        <f>H627/1.15</f>
        <v>53.32</v>
      </c>
      <c r="I626" s="25"/>
      <c r="J626" s="34"/>
      <c r="K626" s="32"/>
      <c r="L626" s="26"/>
      <c r="M626" s="67"/>
      <c r="N626" s="28"/>
      <c r="O626" s="67"/>
      <c r="P626" s="26"/>
      <c r="Q626" s="67"/>
      <c r="R626" s="28"/>
      <c r="S626" s="27"/>
      <c r="T626" s="28"/>
      <c r="U626" s="27"/>
      <c r="V626" s="28"/>
      <c r="W626" s="68"/>
      <c r="X626" s="114" t="s">
        <v>512</v>
      </c>
      <c r="Y626" s="114"/>
      <c r="Z626" s="114"/>
      <c r="AA626" s="88"/>
      <c r="AB626" s="88"/>
      <c r="AC626" s="88"/>
    </row>
    <row r="627" spans="1:29" ht="28.5" hidden="1" customHeight="1" x14ac:dyDescent="0.2">
      <c r="A627" s="13" t="s">
        <v>9</v>
      </c>
      <c r="B627" s="111"/>
      <c r="C627" s="93" t="s">
        <v>36</v>
      </c>
      <c r="D627" s="40" t="s">
        <v>295</v>
      </c>
      <c r="E627" s="41" t="s">
        <v>327</v>
      </c>
      <c r="F627" s="40"/>
      <c r="G627" s="42" t="s">
        <v>113</v>
      </c>
      <c r="H627" s="43">
        <f>26.66*1.15*2</f>
        <v>61.317999999999998</v>
      </c>
      <c r="I627" s="44"/>
      <c r="J627" s="45"/>
      <c r="K627" s="46"/>
      <c r="L627" s="17"/>
      <c r="M627" s="47"/>
      <c r="N627" s="18"/>
      <c r="O627" s="47"/>
      <c r="P627" s="17"/>
      <c r="Q627" s="47"/>
      <c r="R627" s="18"/>
      <c r="S627" s="48"/>
      <c r="T627" s="49"/>
      <c r="U627" s="48"/>
      <c r="V627" s="49"/>
      <c r="W627" s="29"/>
      <c r="X627" s="89" t="s">
        <v>328</v>
      </c>
      <c r="Y627" s="8"/>
      <c r="Z627" s="8"/>
      <c r="AA627" s="8"/>
      <c r="AB627" s="8"/>
      <c r="AC627" s="8"/>
    </row>
    <row r="628" spans="1:29" s="69" customFormat="1" ht="28.5" customHeight="1" x14ac:dyDescent="0.2">
      <c r="A628" s="66" t="s">
        <v>8</v>
      </c>
      <c r="B628" s="33" t="s">
        <v>437</v>
      </c>
      <c r="C628" s="23" t="s">
        <v>36</v>
      </c>
      <c r="D628" s="23" t="s">
        <v>295</v>
      </c>
      <c r="E628" s="24" t="s">
        <v>371</v>
      </c>
      <c r="F628" s="36"/>
      <c r="G628" s="37" t="s">
        <v>193</v>
      </c>
      <c r="H628" s="38">
        <f>H629/1.15</f>
        <v>13.04</v>
      </c>
      <c r="I628" s="25"/>
      <c r="J628" s="34"/>
      <c r="K628" s="32"/>
      <c r="L628" s="26"/>
      <c r="M628" s="67"/>
      <c r="N628" s="28"/>
      <c r="O628" s="67"/>
      <c r="P628" s="26"/>
      <c r="Q628" s="67"/>
      <c r="R628" s="28"/>
      <c r="S628" s="27"/>
      <c r="T628" s="28"/>
      <c r="U628" s="27"/>
      <c r="V628" s="28"/>
      <c r="W628" s="68"/>
      <c r="X628" s="114" t="s">
        <v>510</v>
      </c>
      <c r="Y628" s="114"/>
      <c r="Z628" s="114"/>
      <c r="AA628" s="114"/>
      <c r="AB628" s="114"/>
      <c r="AC628" s="114"/>
    </row>
    <row r="629" spans="1:29" ht="28.5" hidden="1" customHeight="1" x14ac:dyDescent="0.2">
      <c r="A629" s="13" t="s">
        <v>9</v>
      </c>
      <c r="B629" s="111"/>
      <c r="C629" s="93" t="s">
        <v>36</v>
      </c>
      <c r="D629" s="40" t="s">
        <v>295</v>
      </c>
      <c r="E629" s="41" t="s">
        <v>329</v>
      </c>
      <c r="F629" s="40"/>
      <c r="G629" s="42" t="s">
        <v>193</v>
      </c>
      <c r="H629" s="43">
        <f>6.52*1.15*2</f>
        <v>14.995999999999999</v>
      </c>
      <c r="I629" s="44"/>
      <c r="J629" s="45"/>
      <c r="K629" s="46"/>
      <c r="L629" s="17"/>
      <c r="M629" s="47"/>
      <c r="N629" s="18"/>
      <c r="O629" s="47"/>
      <c r="P629" s="17"/>
      <c r="Q629" s="47"/>
      <c r="R629" s="18"/>
      <c r="S629" s="48"/>
      <c r="T629" s="49"/>
      <c r="U629" s="48"/>
      <c r="V629" s="49"/>
      <c r="W629" s="29"/>
      <c r="X629" s="89" t="s">
        <v>330</v>
      </c>
      <c r="Y629" s="8"/>
      <c r="Z629" s="8"/>
      <c r="AA629" s="8"/>
      <c r="AB629" s="8"/>
      <c r="AC629" s="8"/>
    </row>
    <row r="630" spans="1:29" ht="28.5" hidden="1" customHeight="1" x14ac:dyDescent="0.2">
      <c r="A630" s="13" t="s">
        <v>9</v>
      </c>
      <c r="B630" s="111"/>
      <c r="C630" s="93" t="s">
        <v>36</v>
      </c>
      <c r="D630" s="40" t="s">
        <v>295</v>
      </c>
      <c r="E630" s="41" t="s">
        <v>191</v>
      </c>
      <c r="F630" s="40"/>
      <c r="G630" s="42" t="s">
        <v>69</v>
      </c>
      <c r="H630" s="112">
        <f>H628/0.2*2</f>
        <v>130.39999999999998</v>
      </c>
      <c r="I630" s="44"/>
      <c r="J630" s="45"/>
      <c r="K630" s="46"/>
      <c r="L630" s="17"/>
      <c r="M630" s="47"/>
      <c r="N630" s="18"/>
      <c r="O630" s="47"/>
      <c r="P630" s="17"/>
      <c r="Q630" s="47"/>
      <c r="R630" s="18"/>
      <c r="S630" s="48"/>
      <c r="T630" s="49"/>
      <c r="U630" s="48"/>
      <c r="V630" s="49"/>
      <c r="W630" s="29"/>
      <c r="X630" s="89" t="s">
        <v>333</v>
      </c>
      <c r="Y630" s="8"/>
      <c r="Z630" s="8"/>
      <c r="AA630" s="8"/>
      <c r="AB630" s="8"/>
      <c r="AC630" s="8"/>
    </row>
    <row r="631" spans="1:29" s="69" customFormat="1" ht="28.5" customHeight="1" x14ac:dyDescent="0.2">
      <c r="A631" s="66" t="s">
        <v>8</v>
      </c>
      <c r="B631" s="33" t="s">
        <v>438</v>
      </c>
      <c r="C631" s="23" t="s">
        <v>36</v>
      </c>
      <c r="D631" s="23" t="s">
        <v>295</v>
      </c>
      <c r="E631" s="24" t="s">
        <v>368</v>
      </c>
      <c r="F631" s="36"/>
      <c r="G631" s="37" t="s">
        <v>128</v>
      </c>
      <c r="H631" s="38">
        <f>H632/1.15</f>
        <v>5.1700000000000008</v>
      </c>
      <c r="I631" s="25"/>
      <c r="J631" s="34"/>
      <c r="K631" s="32"/>
      <c r="L631" s="26"/>
      <c r="M631" s="67"/>
      <c r="N631" s="28"/>
      <c r="O631" s="67"/>
      <c r="P631" s="26"/>
      <c r="Q631" s="67"/>
      <c r="R631" s="28"/>
      <c r="S631" s="27"/>
      <c r="T631" s="28"/>
      <c r="U631" s="27"/>
      <c r="V631" s="28"/>
      <c r="W631" s="68"/>
      <c r="X631" s="88"/>
      <c r="Y631" s="88"/>
      <c r="Z631" s="88"/>
      <c r="AA631" s="88"/>
      <c r="AB631" s="88"/>
      <c r="AC631" s="88"/>
    </row>
    <row r="632" spans="1:29" ht="28.5" hidden="1" customHeight="1" x14ac:dyDescent="0.2">
      <c r="A632" s="13" t="s">
        <v>9</v>
      </c>
      <c r="B632" s="111"/>
      <c r="C632" s="93" t="s">
        <v>36</v>
      </c>
      <c r="D632" s="40" t="s">
        <v>295</v>
      </c>
      <c r="E632" s="41" t="s">
        <v>331</v>
      </c>
      <c r="F632" s="40"/>
      <c r="G632" s="42" t="s">
        <v>107</v>
      </c>
      <c r="H632" s="43">
        <f>25.85*0.1*1.15*2</f>
        <v>5.9455000000000009</v>
      </c>
      <c r="I632" s="44"/>
      <c r="J632" s="45"/>
      <c r="K632" s="46"/>
      <c r="L632" s="17"/>
      <c r="M632" s="47"/>
      <c r="N632" s="18"/>
      <c r="O632" s="47"/>
      <c r="P632" s="17"/>
      <c r="Q632" s="47"/>
      <c r="R632" s="18"/>
      <c r="S632" s="48"/>
      <c r="T632" s="49"/>
      <c r="U632" s="48"/>
      <c r="V632" s="49"/>
      <c r="W632" s="29"/>
      <c r="X632" s="89" t="s">
        <v>330</v>
      </c>
      <c r="Y632" s="8"/>
      <c r="Z632" s="8"/>
      <c r="AA632" s="8"/>
      <c r="AB632" s="8"/>
      <c r="AC632" s="8"/>
    </row>
    <row r="633" spans="1:29" s="69" customFormat="1" ht="28.5" customHeight="1" x14ac:dyDescent="0.2">
      <c r="A633" s="66" t="s">
        <v>8</v>
      </c>
      <c r="B633" s="33" t="s">
        <v>439</v>
      </c>
      <c r="C633" s="23" t="s">
        <v>36</v>
      </c>
      <c r="D633" s="23" t="s">
        <v>295</v>
      </c>
      <c r="E633" s="24" t="s">
        <v>369</v>
      </c>
      <c r="F633" s="36"/>
      <c r="G633" s="37" t="s">
        <v>119</v>
      </c>
      <c r="H633" s="38">
        <f>H634/1.15</f>
        <v>51.7</v>
      </c>
      <c r="I633" s="25"/>
      <c r="J633" s="34"/>
      <c r="K633" s="32"/>
      <c r="L633" s="26"/>
      <c r="M633" s="67"/>
      <c r="N633" s="28"/>
      <c r="O633" s="67"/>
      <c r="P633" s="26"/>
      <c r="Q633" s="67"/>
      <c r="R633" s="28"/>
      <c r="S633" s="27"/>
      <c r="T633" s="28"/>
      <c r="U633" s="27"/>
      <c r="V633" s="28"/>
      <c r="W633" s="68"/>
      <c r="X633" s="88"/>
      <c r="Y633" s="88"/>
      <c r="Z633" s="88"/>
      <c r="AA633" s="88"/>
      <c r="AB633" s="88"/>
      <c r="AC633" s="88"/>
    </row>
    <row r="634" spans="1:29" ht="28.5" hidden="1" customHeight="1" x14ac:dyDescent="0.2">
      <c r="A634" s="13" t="s">
        <v>9</v>
      </c>
      <c r="B634" s="111"/>
      <c r="C634" s="93" t="s">
        <v>36</v>
      </c>
      <c r="D634" s="40" t="s">
        <v>295</v>
      </c>
      <c r="E634" s="41" t="s">
        <v>332</v>
      </c>
      <c r="F634" s="40"/>
      <c r="G634" s="42" t="s">
        <v>113</v>
      </c>
      <c r="H634" s="43">
        <f>25.85*1.15*2</f>
        <v>59.454999999999998</v>
      </c>
      <c r="I634" s="44"/>
      <c r="J634" s="45"/>
      <c r="K634" s="46"/>
      <c r="L634" s="17"/>
      <c r="M634" s="47"/>
      <c r="N634" s="18"/>
      <c r="O634" s="47"/>
      <c r="P634" s="17"/>
      <c r="Q634" s="47"/>
      <c r="R634" s="18"/>
      <c r="S634" s="48"/>
      <c r="T634" s="49"/>
      <c r="U634" s="48"/>
      <c r="V634" s="49"/>
      <c r="W634" s="29"/>
      <c r="X634" s="89" t="s">
        <v>328</v>
      </c>
      <c r="Y634" s="8"/>
      <c r="Z634" s="8"/>
      <c r="AA634" s="8"/>
      <c r="AB634" s="8"/>
      <c r="AC634" s="8"/>
    </row>
    <row r="635" spans="1:29" s="85" customFormat="1" ht="28.5" customHeight="1" x14ac:dyDescent="0.2">
      <c r="A635" s="70" t="s">
        <v>14</v>
      </c>
      <c r="B635" s="71">
        <v>34</v>
      </c>
      <c r="C635" s="72" t="s">
        <v>36</v>
      </c>
      <c r="D635" s="75" t="s">
        <v>295</v>
      </c>
      <c r="E635" s="74" t="s">
        <v>317</v>
      </c>
      <c r="F635" s="75"/>
      <c r="G635" s="73" t="s">
        <v>69</v>
      </c>
      <c r="H635" s="76">
        <v>2</v>
      </c>
      <c r="I635" s="77"/>
      <c r="J635" s="76"/>
      <c r="K635" s="78"/>
      <c r="L635" s="79"/>
      <c r="M635" s="80"/>
      <c r="N635" s="81"/>
      <c r="O635" s="82"/>
      <c r="P635" s="79"/>
      <c r="Q635" s="80"/>
      <c r="R635" s="81"/>
      <c r="S635" s="80"/>
      <c r="T635" s="83"/>
      <c r="U635" s="84"/>
      <c r="V635" s="83"/>
    </row>
    <row r="636" spans="1:29" s="69" customFormat="1" ht="28.5" customHeight="1" x14ac:dyDescent="0.2">
      <c r="A636" s="66" t="s">
        <v>8</v>
      </c>
      <c r="B636" s="33" t="s">
        <v>432</v>
      </c>
      <c r="C636" s="23" t="s">
        <v>36</v>
      </c>
      <c r="D636" s="23" t="s">
        <v>295</v>
      </c>
      <c r="E636" s="24" t="s">
        <v>367</v>
      </c>
      <c r="F636" s="36"/>
      <c r="G636" s="37" t="s">
        <v>110</v>
      </c>
      <c r="H636" s="38">
        <f>SUM(H637:H641)/1.03</f>
        <v>7.7403600000000003E-2</v>
      </c>
      <c r="I636" s="25"/>
      <c r="J636" s="34"/>
      <c r="K636" s="32"/>
      <c r="L636" s="26"/>
      <c r="M636" s="67"/>
      <c r="N636" s="28"/>
      <c r="O636" s="67"/>
      <c r="P636" s="26"/>
      <c r="Q636" s="67"/>
      <c r="R636" s="28"/>
      <c r="S636" s="27"/>
      <c r="T636" s="28"/>
      <c r="U636" s="27"/>
      <c r="V636" s="28"/>
      <c r="W636" s="68"/>
      <c r="X636" s="88"/>
      <c r="Y636" s="88"/>
      <c r="Z636" s="88"/>
      <c r="AA636" s="88"/>
      <c r="AB636" s="88"/>
      <c r="AC636" s="88"/>
    </row>
    <row r="637" spans="1:29" ht="28.5" hidden="1" customHeight="1" x14ac:dyDescent="0.2">
      <c r="A637" s="13" t="s">
        <v>9</v>
      </c>
      <c r="B637" s="111"/>
      <c r="C637" s="93" t="s">
        <v>36</v>
      </c>
      <c r="D637" s="40" t="s">
        <v>295</v>
      </c>
      <c r="E637" s="41" t="s">
        <v>346</v>
      </c>
      <c r="F637" s="40"/>
      <c r="G637" s="42" t="s">
        <v>110</v>
      </c>
      <c r="H637" s="113">
        <f>((0.94*0.43)*5)*2/1000*1.03</f>
        <v>4.1632599999999994E-3</v>
      </c>
      <c r="I637" s="44"/>
      <c r="J637" s="45"/>
      <c r="K637" s="46"/>
      <c r="L637" s="17"/>
      <c r="M637" s="47"/>
      <c r="N637" s="18"/>
      <c r="O637" s="47"/>
      <c r="P637" s="17"/>
      <c r="Q637" s="47"/>
      <c r="R637" s="18"/>
      <c r="S637" s="48"/>
      <c r="T637" s="49"/>
      <c r="U637" s="48"/>
      <c r="V637" s="49"/>
      <c r="W637" s="29"/>
      <c r="X637" s="89" t="s">
        <v>127</v>
      </c>
      <c r="Y637" s="8"/>
      <c r="Z637" s="8"/>
      <c r="AA637" s="8"/>
      <c r="AB637" s="8"/>
      <c r="AC637" s="8"/>
    </row>
    <row r="638" spans="1:29" ht="28.5" hidden="1" customHeight="1" x14ac:dyDescent="0.2">
      <c r="A638" s="13" t="s">
        <v>9</v>
      </c>
      <c r="B638" s="111"/>
      <c r="C638" s="93" t="s">
        <v>36</v>
      </c>
      <c r="D638" s="40" t="s">
        <v>295</v>
      </c>
      <c r="E638" s="41" t="s">
        <v>336</v>
      </c>
      <c r="F638" s="40"/>
      <c r="G638" s="42" t="s">
        <v>110</v>
      </c>
      <c r="H638" s="113">
        <f>(0.94*5.27)*2/1000*1.03</f>
        <v>1.0204827999999999E-2</v>
      </c>
      <c r="I638" s="44"/>
      <c r="J638" s="45"/>
      <c r="K638" s="46"/>
      <c r="L638" s="17"/>
      <c r="M638" s="47"/>
      <c r="N638" s="18"/>
      <c r="O638" s="47"/>
      <c r="P638" s="17"/>
      <c r="Q638" s="47"/>
      <c r="R638" s="18"/>
      <c r="S638" s="48"/>
      <c r="T638" s="49"/>
      <c r="U638" s="48"/>
      <c r="V638" s="49"/>
      <c r="W638" s="29"/>
      <c r="X638" s="89" t="s">
        <v>127</v>
      </c>
      <c r="Y638" s="8"/>
      <c r="Z638" s="8"/>
      <c r="AA638" s="8"/>
      <c r="AB638" s="8"/>
      <c r="AC638" s="8"/>
    </row>
    <row r="639" spans="1:29" ht="28.5" hidden="1" customHeight="1" x14ac:dyDescent="0.2">
      <c r="A639" s="13" t="s">
        <v>9</v>
      </c>
      <c r="B639" s="111"/>
      <c r="C639" s="93" t="s">
        <v>36</v>
      </c>
      <c r="D639" s="40" t="s">
        <v>295</v>
      </c>
      <c r="E639" s="41" t="s">
        <v>337</v>
      </c>
      <c r="F639" s="40"/>
      <c r="G639" s="42" t="s">
        <v>110</v>
      </c>
      <c r="H639" s="113">
        <f>(0.94*6.74)*2/1000*1.03</f>
        <v>1.3051335999999998E-2</v>
      </c>
      <c r="I639" s="44"/>
      <c r="J639" s="45"/>
      <c r="K639" s="46"/>
      <c r="L639" s="17"/>
      <c r="M639" s="47"/>
      <c r="N639" s="18"/>
      <c r="O639" s="47"/>
      <c r="P639" s="17"/>
      <c r="Q639" s="47"/>
      <c r="R639" s="18"/>
      <c r="S639" s="48"/>
      <c r="T639" s="49"/>
      <c r="U639" s="48"/>
      <c r="V639" s="49"/>
      <c r="W639" s="29"/>
      <c r="X639" s="89" t="s">
        <v>127</v>
      </c>
      <c r="Y639" s="8"/>
      <c r="Z639" s="8"/>
      <c r="AA639" s="8"/>
      <c r="AB639" s="8"/>
      <c r="AC639" s="8"/>
    </row>
    <row r="640" spans="1:29" ht="28.5" hidden="1" customHeight="1" x14ac:dyDescent="0.2">
      <c r="A640" s="13" t="s">
        <v>9</v>
      </c>
      <c r="B640" s="111"/>
      <c r="C640" s="93" t="s">
        <v>36</v>
      </c>
      <c r="D640" s="40" t="s">
        <v>295</v>
      </c>
      <c r="E640" s="41" t="s">
        <v>338</v>
      </c>
      <c r="F640" s="40"/>
      <c r="G640" s="42" t="s">
        <v>110</v>
      </c>
      <c r="H640" s="43">
        <f>(2.2*5.69)*2/1000*1.03</f>
        <v>2.5787080000000007E-2</v>
      </c>
      <c r="I640" s="44"/>
      <c r="J640" s="45"/>
      <c r="K640" s="46"/>
      <c r="L640" s="17"/>
      <c r="M640" s="47"/>
      <c r="N640" s="18"/>
      <c r="O640" s="47"/>
      <c r="P640" s="17"/>
      <c r="Q640" s="47"/>
      <c r="R640" s="18"/>
      <c r="S640" s="48"/>
      <c r="T640" s="49"/>
      <c r="U640" s="48"/>
      <c r="V640" s="49"/>
      <c r="W640" s="29"/>
      <c r="X640" s="89" t="s">
        <v>127</v>
      </c>
      <c r="Y640" s="8"/>
      <c r="Z640" s="8"/>
      <c r="AA640" s="8"/>
      <c r="AB640" s="8"/>
      <c r="AC640" s="8"/>
    </row>
    <row r="641" spans="1:29" ht="28.5" hidden="1" customHeight="1" x14ac:dyDescent="0.2">
      <c r="A641" s="13" t="s">
        <v>9</v>
      </c>
      <c r="B641" s="111"/>
      <c r="C641" s="93" t="s">
        <v>36</v>
      </c>
      <c r="D641" s="40" t="s">
        <v>295</v>
      </c>
      <c r="E641" s="41" t="s">
        <v>345</v>
      </c>
      <c r="F641" s="40"/>
      <c r="G641" s="42" t="s">
        <v>110</v>
      </c>
      <c r="H641" s="43">
        <f>(1.91*6.74)*2/1000*1.03</f>
        <v>2.6519204000000001E-2</v>
      </c>
      <c r="I641" s="44"/>
      <c r="J641" s="45"/>
      <c r="K641" s="46"/>
      <c r="L641" s="17"/>
      <c r="M641" s="47"/>
      <c r="N641" s="18"/>
      <c r="O641" s="47"/>
      <c r="P641" s="17"/>
      <c r="Q641" s="47"/>
      <c r="R641" s="18"/>
      <c r="S641" s="48"/>
      <c r="T641" s="49"/>
      <c r="U641" s="48"/>
      <c r="V641" s="49"/>
      <c r="W641" s="29"/>
      <c r="X641" s="89" t="s">
        <v>127</v>
      </c>
      <c r="Y641" s="8"/>
      <c r="Z641" s="8"/>
      <c r="AA641" s="8"/>
      <c r="AB641" s="8"/>
      <c r="AC641" s="8"/>
    </row>
    <row r="642" spans="1:29" s="69" customFormat="1" ht="28.5" customHeight="1" x14ac:dyDescent="0.2">
      <c r="A642" s="66" t="s">
        <v>8</v>
      </c>
      <c r="B642" s="33" t="s">
        <v>433</v>
      </c>
      <c r="C642" s="23" t="s">
        <v>36</v>
      </c>
      <c r="D642" s="23" t="s">
        <v>295</v>
      </c>
      <c r="E642" s="24" t="s">
        <v>373</v>
      </c>
      <c r="F642" s="36"/>
      <c r="G642" s="37" t="s">
        <v>119</v>
      </c>
      <c r="H642" s="38">
        <f>H643/1.15</f>
        <v>6.18</v>
      </c>
      <c r="I642" s="25"/>
      <c r="J642" s="34"/>
      <c r="K642" s="32"/>
      <c r="L642" s="26"/>
      <c r="M642" s="67"/>
      <c r="N642" s="28"/>
      <c r="O642" s="67"/>
      <c r="P642" s="26"/>
      <c r="Q642" s="67"/>
      <c r="R642" s="28"/>
      <c r="S642" s="27"/>
      <c r="T642" s="28"/>
      <c r="U642" s="27"/>
      <c r="V642" s="28"/>
      <c r="W642" s="68"/>
      <c r="X642" s="88"/>
      <c r="Y642" s="88"/>
      <c r="Z642" s="88"/>
      <c r="AA642" s="88"/>
      <c r="AB642" s="88"/>
      <c r="AC642" s="88"/>
    </row>
    <row r="643" spans="1:29" ht="28.5" hidden="1" customHeight="1" x14ac:dyDescent="0.2">
      <c r="A643" s="13" t="s">
        <v>9</v>
      </c>
      <c r="B643" s="111"/>
      <c r="C643" s="93" t="s">
        <v>36</v>
      </c>
      <c r="D643" s="40" t="s">
        <v>295</v>
      </c>
      <c r="E643" s="41" t="s">
        <v>339</v>
      </c>
      <c r="F643" s="40"/>
      <c r="G643" s="42" t="s">
        <v>113</v>
      </c>
      <c r="H643" s="43">
        <f>3.09*1.15*2</f>
        <v>7.1069999999999993</v>
      </c>
      <c r="I643" s="44"/>
      <c r="J643" s="45"/>
      <c r="K643" s="46"/>
      <c r="L643" s="17"/>
      <c r="M643" s="47"/>
      <c r="N643" s="18"/>
      <c r="O643" s="47"/>
      <c r="P643" s="17"/>
      <c r="Q643" s="47"/>
      <c r="R643" s="18"/>
      <c r="S643" s="48"/>
      <c r="T643" s="49"/>
      <c r="U643" s="48"/>
      <c r="V643" s="49"/>
      <c r="W643" s="29"/>
      <c r="X643" s="89" t="s">
        <v>328</v>
      </c>
      <c r="Y643" s="8"/>
      <c r="Z643" s="8"/>
      <c r="AA643" s="8"/>
      <c r="AB643" s="8"/>
      <c r="AC643" s="8"/>
    </row>
    <row r="644" spans="1:29" ht="28.5" hidden="1" customHeight="1" x14ac:dyDescent="0.2">
      <c r="A644" s="13" t="s">
        <v>9</v>
      </c>
      <c r="B644" s="111"/>
      <c r="C644" s="93" t="s">
        <v>36</v>
      </c>
      <c r="D644" s="40" t="s">
        <v>295</v>
      </c>
      <c r="E644" s="41" t="s">
        <v>374</v>
      </c>
      <c r="F644" s="40"/>
      <c r="G644" s="42" t="s">
        <v>69</v>
      </c>
      <c r="H644" s="43">
        <f>H642*8</f>
        <v>49.44</v>
      </c>
      <c r="I644" s="44"/>
      <c r="J644" s="45"/>
      <c r="K644" s="46"/>
      <c r="L644" s="17"/>
      <c r="M644" s="47"/>
      <c r="N644" s="18"/>
      <c r="O644" s="47"/>
      <c r="P644" s="17"/>
      <c r="Q644" s="47"/>
      <c r="R644" s="18"/>
      <c r="S644" s="48"/>
      <c r="T644" s="49"/>
      <c r="U644" s="48"/>
      <c r="V644" s="49"/>
      <c r="W644" s="29"/>
      <c r="X644" s="89" t="s">
        <v>375</v>
      </c>
      <c r="Y644" s="8"/>
      <c r="Z644" s="8"/>
      <c r="AA644" s="8"/>
      <c r="AB644" s="8"/>
      <c r="AC644" s="8"/>
    </row>
    <row r="645" spans="1:29" s="85" customFormat="1" ht="28.5" customHeight="1" x14ac:dyDescent="0.2">
      <c r="A645" s="70" t="s">
        <v>14</v>
      </c>
      <c r="B645" s="71">
        <v>35</v>
      </c>
      <c r="C645" s="72" t="s">
        <v>36</v>
      </c>
      <c r="D645" s="75" t="s">
        <v>295</v>
      </c>
      <c r="E645" s="74" t="s">
        <v>308</v>
      </c>
      <c r="F645" s="75"/>
      <c r="G645" s="73" t="s">
        <v>69</v>
      </c>
      <c r="H645" s="76">
        <v>1</v>
      </c>
      <c r="I645" s="77"/>
      <c r="J645" s="76"/>
      <c r="K645" s="78"/>
      <c r="L645" s="79"/>
      <c r="M645" s="80"/>
      <c r="N645" s="81"/>
      <c r="O645" s="82"/>
      <c r="P645" s="79"/>
      <c r="Q645" s="80"/>
      <c r="R645" s="81"/>
      <c r="S645" s="80"/>
      <c r="T645" s="83"/>
      <c r="U645" s="84"/>
      <c r="V645" s="83"/>
    </row>
    <row r="646" spans="1:29" s="69" customFormat="1" ht="28.5" customHeight="1" x14ac:dyDescent="0.2">
      <c r="A646" s="66" t="s">
        <v>8</v>
      </c>
      <c r="B646" s="33" t="s">
        <v>440</v>
      </c>
      <c r="C646" s="23" t="s">
        <v>36</v>
      </c>
      <c r="D646" s="23" t="s">
        <v>295</v>
      </c>
      <c r="E646" s="24" t="s">
        <v>366</v>
      </c>
      <c r="F646" s="36"/>
      <c r="G646" s="37" t="s">
        <v>110</v>
      </c>
      <c r="H646" s="38">
        <f>SUM(H647:H651)/1.03</f>
        <v>0.73314869999999988</v>
      </c>
      <c r="I646" s="25"/>
      <c r="J646" s="34"/>
      <c r="K646" s="32"/>
      <c r="L646" s="26"/>
      <c r="M646" s="67"/>
      <c r="N646" s="28"/>
      <c r="O646" s="67"/>
      <c r="P646" s="26"/>
      <c r="Q646" s="67"/>
      <c r="R646" s="28"/>
      <c r="S646" s="27"/>
      <c r="T646" s="28"/>
      <c r="U646" s="27"/>
      <c r="V646" s="28"/>
      <c r="W646" s="68"/>
      <c r="X646" s="88"/>
      <c r="Y646" s="88"/>
      <c r="Z646" s="88"/>
      <c r="AA646" s="88"/>
      <c r="AB646" s="88"/>
      <c r="AC646" s="88"/>
    </row>
    <row r="647" spans="1:29" ht="28.5" hidden="1" customHeight="1" x14ac:dyDescent="0.2">
      <c r="A647" s="13" t="s">
        <v>9</v>
      </c>
      <c r="B647" s="111"/>
      <c r="C647" s="93" t="s">
        <v>36</v>
      </c>
      <c r="D647" s="40" t="s">
        <v>295</v>
      </c>
      <c r="E647" s="41" t="s">
        <v>320</v>
      </c>
      <c r="F647" s="40"/>
      <c r="G647" s="42" t="s">
        <v>110</v>
      </c>
      <c r="H647" s="43">
        <f>(7.42*10.79)*1/1000*1.03</f>
        <v>8.2463653999999983E-2</v>
      </c>
      <c r="I647" s="44"/>
      <c r="J647" s="45"/>
      <c r="K647" s="46"/>
      <c r="L647" s="17"/>
      <c r="M647" s="47"/>
      <c r="N647" s="18"/>
      <c r="O647" s="47"/>
      <c r="P647" s="17"/>
      <c r="Q647" s="47"/>
      <c r="R647" s="18"/>
      <c r="S647" s="48"/>
      <c r="T647" s="49"/>
      <c r="U647" s="48"/>
      <c r="V647" s="49"/>
      <c r="W647" s="29"/>
      <c r="X647" s="89" t="s">
        <v>127</v>
      </c>
      <c r="Y647" s="8"/>
      <c r="Z647" s="8"/>
      <c r="AA647" s="8"/>
      <c r="AB647" s="8"/>
      <c r="AC647" s="8"/>
    </row>
    <row r="648" spans="1:29" ht="28.5" hidden="1" customHeight="1" x14ac:dyDescent="0.2">
      <c r="A648" s="13" t="s">
        <v>9</v>
      </c>
      <c r="B648" s="111"/>
      <c r="C648" s="93" t="s">
        <v>36</v>
      </c>
      <c r="D648" s="40" t="s">
        <v>295</v>
      </c>
      <c r="E648" s="41" t="s">
        <v>321</v>
      </c>
      <c r="F648" s="40"/>
      <c r="G648" s="42" t="s">
        <v>110</v>
      </c>
      <c r="H648" s="43">
        <f>(64.48*6.39)*1/1000*1.03</f>
        <v>0.42438801599999998</v>
      </c>
      <c r="I648" s="44"/>
      <c r="J648" s="45"/>
      <c r="K648" s="46"/>
      <c r="L648" s="17"/>
      <c r="M648" s="47"/>
      <c r="N648" s="18"/>
      <c r="O648" s="47"/>
      <c r="P648" s="17"/>
      <c r="Q648" s="47"/>
      <c r="R648" s="18"/>
      <c r="S648" s="48"/>
      <c r="T648" s="49"/>
      <c r="U648" s="48"/>
      <c r="V648" s="49"/>
      <c r="W648" s="29"/>
      <c r="X648" s="89" t="s">
        <v>127</v>
      </c>
      <c r="Y648" s="8"/>
      <c r="Z648" s="8"/>
      <c r="AA648" s="8"/>
      <c r="AB648" s="8"/>
      <c r="AC648" s="8"/>
    </row>
    <row r="649" spans="1:29" ht="28.5" hidden="1" customHeight="1" x14ac:dyDescent="0.2">
      <c r="A649" s="13" t="s">
        <v>9</v>
      </c>
      <c r="B649" s="111"/>
      <c r="C649" s="93" t="s">
        <v>36</v>
      </c>
      <c r="D649" s="40" t="s">
        <v>295</v>
      </c>
      <c r="E649" s="41" t="s">
        <v>322</v>
      </c>
      <c r="F649" s="40"/>
      <c r="G649" s="42" t="s">
        <v>110</v>
      </c>
      <c r="H649" s="43">
        <f>((1.91*0.3)*16)*1/1000*1.03</f>
        <v>9.4430399999999998E-3</v>
      </c>
      <c r="I649" s="44"/>
      <c r="J649" s="45"/>
      <c r="K649" s="46"/>
      <c r="L649" s="17"/>
      <c r="M649" s="47"/>
      <c r="N649" s="18"/>
      <c r="O649" s="47"/>
      <c r="P649" s="17"/>
      <c r="Q649" s="47"/>
      <c r="R649" s="18"/>
      <c r="S649" s="48"/>
      <c r="T649" s="49"/>
      <c r="U649" s="48"/>
      <c r="V649" s="49"/>
      <c r="W649" s="29"/>
      <c r="X649" s="89" t="s">
        <v>127</v>
      </c>
      <c r="Y649" s="8"/>
      <c r="Z649" s="8"/>
      <c r="AA649" s="8"/>
      <c r="AB649" s="8"/>
      <c r="AC649" s="8"/>
    </row>
    <row r="650" spans="1:29" ht="28.5" hidden="1" customHeight="1" x14ac:dyDescent="0.2">
      <c r="A650" s="13" t="s">
        <v>9</v>
      </c>
      <c r="B650" s="111"/>
      <c r="C650" s="93" t="s">
        <v>36</v>
      </c>
      <c r="D650" s="40" t="s">
        <v>295</v>
      </c>
      <c r="E650" s="41" t="s">
        <v>323</v>
      </c>
      <c r="F650" s="40"/>
      <c r="G650" s="42" t="s">
        <v>110</v>
      </c>
      <c r="H650" s="43">
        <f>(2.35*57.55)*1/1000*1.03</f>
        <v>0.13929977500000001</v>
      </c>
      <c r="I650" s="44"/>
      <c r="J650" s="45"/>
      <c r="K650" s="46"/>
      <c r="L650" s="17"/>
      <c r="M650" s="47"/>
      <c r="N650" s="18"/>
      <c r="O650" s="47"/>
      <c r="P650" s="17"/>
      <c r="Q650" s="47"/>
      <c r="R650" s="18"/>
      <c r="S650" s="48"/>
      <c r="T650" s="49"/>
      <c r="U650" s="48"/>
      <c r="V650" s="49"/>
      <c r="W650" s="29"/>
      <c r="X650" s="89" t="s">
        <v>127</v>
      </c>
      <c r="Y650" s="8"/>
      <c r="Z650" s="8"/>
      <c r="AA650" s="8"/>
      <c r="AB650" s="8"/>
      <c r="AC650" s="8"/>
    </row>
    <row r="651" spans="1:29" ht="28.5" hidden="1" customHeight="1" x14ac:dyDescent="0.2">
      <c r="A651" s="13" t="s">
        <v>9</v>
      </c>
      <c r="B651" s="111"/>
      <c r="C651" s="93" t="s">
        <v>36</v>
      </c>
      <c r="D651" s="40" t="s">
        <v>295</v>
      </c>
      <c r="E651" s="41" t="s">
        <v>349</v>
      </c>
      <c r="F651" s="40"/>
      <c r="G651" s="42" t="s">
        <v>110</v>
      </c>
      <c r="H651" s="43">
        <f>((1.52*2.7)*23.55)*1/1000*1.03</f>
        <v>9.9548676000000003E-2</v>
      </c>
      <c r="I651" s="44"/>
      <c r="J651" s="45"/>
      <c r="K651" s="46"/>
      <c r="L651" s="17"/>
      <c r="M651" s="47"/>
      <c r="N651" s="18"/>
      <c r="O651" s="47"/>
      <c r="P651" s="17"/>
      <c r="Q651" s="47"/>
      <c r="R651" s="18"/>
      <c r="S651" s="48"/>
      <c r="T651" s="49"/>
      <c r="U651" s="48"/>
      <c r="V651" s="49"/>
      <c r="W651" s="29"/>
      <c r="X651" s="89" t="s">
        <v>127</v>
      </c>
      <c r="Y651" s="8"/>
      <c r="Z651" s="8"/>
      <c r="AA651" s="8"/>
      <c r="AB651" s="8"/>
      <c r="AC651" s="8"/>
    </row>
    <row r="652" spans="1:29" s="69" customFormat="1" ht="38.25" x14ac:dyDescent="0.2">
      <c r="A652" s="66" t="s">
        <v>8</v>
      </c>
      <c r="B652" s="33" t="s">
        <v>441</v>
      </c>
      <c r="C652" s="23" t="s">
        <v>36</v>
      </c>
      <c r="D652" s="23" t="s">
        <v>295</v>
      </c>
      <c r="E652" s="24" t="s">
        <v>508</v>
      </c>
      <c r="F652" s="36"/>
      <c r="G652" s="37" t="s">
        <v>128</v>
      </c>
      <c r="H652" s="38">
        <f>SUM(H653:H654)/1.15</f>
        <v>1.107</v>
      </c>
      <c r="I652" s="25"/>
      <c r="J652" s="34"/>
      <c r="K652" s="32"/>
      <c r="L652" s="26"/>
      <c r="M652" s="67"/>
      <c r="N652" s="28"/>
      <c r="O652" s="67"/>
      <c r="P652" s="26"/>
      <c r="Q652" s="67"/>
      <c r="R652" s="28"/>
      <c r="S652" s="27"/>
      <c r="T652" s="28"/>
      <c r="U652" s="27"/>
      <c r="V652" s="28"/>
      <c r="W652" s="68"/>
      <c r="X652" s="88"/>
      <c r="Y652" s="88"/>
      <c r="Z652" s="88"/>
      <c r="AA652" s="88"/>
      <c r="AB652" s="88"/>
      <c r="AC652" s="88"/>
    </row>
    <row r="653" spans="1:29" ht="28.5" hidden="1" customHeight="1" x14ac:dyDescent="0.2">
      <c r="A653" s="13" t="s">
        <v>9</v>
      </c>
      <c r="B653" s="111"/>
      <c r="C653" s="93" t="s">
        <v>36</v>
      </c>
      <c r="D653" s="40" t="s">
        <v>295</v>
      </c>
      <c r="E653" s="41" t="s">
        <v>325</v>
      </c>
      <c r="F653" s="40"/>
      <c r="G653" s="42" t="s">
        <v>107</v>
      </c>
      <c r="H653" s="43">
        <f>0.69*1.15*1</f>
        <v>0.79349999999999987</v>
      </c>
      <c r="I653" s="44"/>
      <c r="J653" s="45"/>
      <c r="K653" s="46"/>
      <c r="L653" s="17"/>
      <c r="M653" s="47"/>
      <c r="N653" s="18"/>
      <c r="O653" s="47"/>
      <c r="P653" s="17"/>
      <c r="Q653" s="47"/>
      <c r="R653" s="18"/>
      <c r="S653" s="48"/>
      <c r="T653" s="49"/>
      <c r="U653" s="48"/>
      <c r="V653" s="49"/>
      <c r="W653" s="29"/>
      <c r="X653" s="89" t="s">
        <v>170</v>
      </c>
      <c r="Y653" s="8"/>
      <c r="Z653" s="8"/>
      <c r="AA653" s="8"/>
      <c r="AB653" s="8"/>
      <c r="AC653" s="8"/>
    </row>
    <row r="654" spans="1:29" ht="28.5" hidden="1" customHeight="1" x14ac:dyDescent="0.2">
      <c r="A654" s="13" t="s">
        <v>9</v>
      </c>
      <c r="B654" s="111"/>
      <c r="C654" s="93" t="s">
        <v>36</v>
      </c>
      <c r="D654" s="40" t="s">
        <v>295</v>
      </c>
      <c r="E654" s="41" t="s">
        <v>326</v>
      </c>
      <c r="F654" s="40"/>
      <c r="G654" s="42" t="s">
        <v>107</v>
      </c>
      <c r="H654" s="43">
        <f>0.417*1.15*1</f>
        <v>0.47954999999999992</v>
      </c>
      <c r="I654" s="44"/>
      <c r="J654" s="45"/>
      <c r="K654" s="46"/>
      <c r="L654" s="17"/>
      <c r="M654" s="47"/>
      <c r="N654" s="18"/>
      <c r="O654" s="47"/>
      <c r="P654" s="17"/>
      <c r="Q654" s="47"/>
      <c r="R654" s="18"/>
      <c r="S654" s="48"/>
      <c r="T654" s="49"/>
      <c r="U654" s="48"/>
      <c r="V654" s="49"/>
      <c r="W654" s="29"/>
      <c r="X654" s="89" t="s">
        <v>170</v>
      </c>
      <c r="Y654" s="8"/>
      <c r="Z654" s="8"/>
      <c r="AA654" s="8"/>
      <c r="AB654" s="8"/>
      <c r="AC654" s="8"/>
    </row>
    <row r="655" spans="1:29" s="69" customFormat="1" ht="28.5" customHeight="1" x14ac:dyDescent="0.2">
      <c r="A655" s="66" t="s">
        <v>8</v>
      </c>
      <c r="B655" s="33" t="s">
        <v>442</v>
      </c>
      <c r="C655" s="23" t="s">
        <v>36</v>
      </c>
      <c r="D655" s="23" t="s">
        <v>295</v>
      </c>
      <c r="E655" s="24" t="s">
        <v>370</v>
      </c>
      <c r="F655" s="36"/>
      <c r="G655" s="37" t="s">
        <v>119</v>
      </c>
      <c r="H655" s="38">
        <f>H656/1.15</f>
        <v>27.2</v>
      </c>
      <c r="I655" s="25"/>
      <c r="J655" s="34"/>
      <c r="K655" s="32"/>
      <c r="L655" s="26"/>
      <c r="M655" s="67"/>
      <c r="N655" s="28"/>
      <c r="O655" s="67"/>
      <c r="P655" s="26"/>
      <c r="Q655" s="67"/>
      <c r="R655" s="28"/>
      <c r="S655" s="27"/>
      <c r="T655" s="28"/>
      <c r="U655" s="27"/>
      <c r="V655" s="28"/>
      <c r="W655" s="68"/>
      <c r="X655" s="114" t="s">
        <v>512</v>
      </c>
      <c r="Y655" s="114"/>
      <c r="Z655" s="114"/>
      <c r="AA655" s="88"/>
      <c r="AB655" s="88"/>
      <c r="AC655" s="88"/>
    </row>
    <row r="656" spans="1:29" ht="28.5" hidden="1" customHeight="1" x14ac:dyDescent="0.2">
      <c r="A656" s="13" t="s">
        <v>9</v>
      </c>
      <c r="B656" s="111"/>
      <c r="C656" s="93" t="s">
        <v>36</v>
      </c>
      <c r="D656" s="40" t="s">
        <v>295</v>
      </c>
      <c r="E656" s="41" t="s">
        <v>327</v>
      </c>
      <c r="F656" s="40"/>
      <c r="G656" s="42" t="s">
        <v>113</v>
      </c>
      <c r="H656" s="43">
        <f>27.2*1.15*1</f>
        <v>31.279999999999998</v>
      </c>
      <c r="I656" s="44"/>
      <c r="J656" s="45"/>
      <c r="K656" s="46"/>
      <c r="L656" s="17"/>
      <c r="M656" s="47"/>
      <c r="N656" s="18"/>
      <c r="O656" s="47"/>
      <c r="P656" s="17"/>
      <c r="Q656" s="47"/>
      <c r="R656" s="18"/>
      <c r="S656" s="48"/>
      <c r="T656" s="49"/>
      <c r="U656" s="48"/>
      <c r="V656" s="49"/>
      <c r="W656" s="29"/>
      <c r="X656" s="89" t="s">
        <v>328</v>
      </c>
      <c r="Y656" s="8"/>
      <c r="Z656" s="8"/>
      <c r="AA656" s="8"/>
      <c r="AB656" s="8"/>
      <c r="AC656" s="8"/>
    </row>
    <row r="657" spans="1:29" s="69" customFormat="1" ht="28.5" customHeight="1" x14ac:dyDescent="0.2">
      <c r="A657" s="66" t="s">
        <v>8</v>
      </c>
      <c r="B657" s="33" t="s">
        <v>443</v>
      </c>
      <c r="C657" s="23" t="s">
        <v>36</v>
      </c>
      <c r="D657" s="23" t="s">
        <v>295</v>
      </c>
      <c r="E657" s="24" t="s">
        <v>371</v>
      </c>
      <c r="F657" s="36"/>
      <c r="G657" s="37" t="s">
        <v>193</v>
      </c>
      <c r="H657" s="38">
        <f>H658/1.15</f>
        <v>6.43</v>
      </c>
      <c r="I657" s="25"/>
      <c r="J657" s="34"/>
      <c r="K657" s="32"/>
      <c r="L657" s="26"/>
      <c r="M657" s="67"/>
      <c r="N657" s="28"/>
      <c r="O657" s="67"/>
      <c r="P657" s="26"/>
      <c r="Q657" s="67"/>
      <c r="R657" s="28"/>
      <c r="S657" s="27"/>
      <c r="T657" s="28"/>
      <c r="U657" s="27"/>
      <c r="V657" s="28"/>
      <c r="W657" s="68"/>
      <c r="X657" s="114" t="s">
        <v>510</v>
      </c>
      <c r="Y657" s="114"/>
      <c r="Z657" s="114"/>
      <c r="AA657" s="114"/>
      <c r="AB657" s="114"/>
      <c r="AC657" s="114"/>
    </row>
    <row r="658" spans="1:29" ht="28.5" hidden="1" customHeight="1" x14ac:dyDescent="0.2">
      <c r="A658" s="13" t="s">
        <v>9</v>
      </c>
      <c r="B658" s="111"/>
      <c r="C658" s="93" t="s">
        <v>36</v>
      </c>
      <c r="D658" s="40" t="s">
        <v>295</v>
      </c>
      <c r="E658" s="41" t="s">
        <v>329</v>
      </c>
      <c r="F658" s="40"/>
      <c r="G658" s="42" t="s">
        <v>193</v>
      </c>
      <c r="H658" s="43">
        <f>6.43*1.15*1</f>
        <v>7.394499999999999</v>
      </c>
      <c r="I658" s="44"/>
      <c r="J658" s="45"/>
      <c r="K658" s="46"/>
      <c r="L658" s="17"/>
      <c r="M658" s="47"/>
      <c r="N658" s="18"/>
      <c r="O658" s="47"/>
      <c r="P658" s="17"/>
      <c r="Q658" s="47"/>
      <c r="R658" s="18"/>
      <c r="S658" s="48"/>
      <c r="T658" s="49"/>
      <c r="U658" s="48"/>
      <c r="V658" s="49"/>
      <c r="W658" s="29"/>
      <c r="X658" s="89" t="s">
        <v>330</v>
      </c>
      <c r="Y658" s="8"/>
      <c r="Z658" s="8"/>
      <c r="AA658" s="8"/>
      <c r="AB658" s="8"/>
      <c r="AC658" s="8"/>
    </row>
    <row r="659" spans="1:29" ht="28.5" hidden="1" customHeight="1" x14ac:dyDescent="0.2">
      <c r="A659" s="13" t="s">
        <v>9</v>
      </c>
      <c r="B659" s="111"/>
      <c r="C659" s="93" t="s">
        <v>36</v>
      </c>
      <c r="D659" s="40" t="s">
        <v>295</v>
      </c>
      <c r="E659" s="41" t="s">
        <v>191</v>
      </c>
      <c r="F659" s="40"/>
      <c r="G659" s="42" t="s">
        <v>69</v>
      </c>
      <c r="H659" s="112">
        <f>H657/0.2*1</f>
        <v>32.15</v>
      </c>
      <c r="I659" s="44"/>
      <c r="J659" s="45"/>
      <c r="K659" s="46"/>
      <c r="L659" s="17"/>
      <c r="M659" s="47"/>
      <c r="N659" s="18"/>
      <c r="O659" s="47"/>
      <c r="P659" s="17"/>
      <c r="Q659" s="47"/>
      <c r="R659" s="18"/>
      <c r="S659" s="48"/>
      <c r="T659" s="49"/>
      <c r="U659" s="48"/>
      <c r="V659" s="49"/>
      <c r="W659" s="29"/>
      <c r="X659" s="89" t="s">
        <v>333</v>
      </c>
      <c r="Y659" s="8"/>
      <c r="Z659" s="8"/>
      <c r="AA659" s="8"/>
      <c r="AB659" s="8"/>
      <c r="AC659" s="8"/>
    </row>
    <row r="660" spans="1:29" s="69" customFormat="1" ht="28.5" customHeight="1" x14ac:dyDescent="0.2">
      <c r="A660" s="66" t="s">
        <v>8</v>
      </c>
      <c r="B660" s="33" t="s">
        <v>444</v>
      </c>
      <c r="C660" s="23" t="s">
        <v>36</v>
      </c>
      <c r="D660" s="23" t="s">
        <v>295</v>
      </c>
      <c r="E660" s="24" t="s">
        <v>368</v>
      </c>
      <c r="F660" s="36"/>
      <c r="G660" s="37" t="s">
        <v>128</v>
      </c>
      <c r="H660" s="38">
        <f>H661/1.15</f>
        <v>3.2189999999999999</v>
      </c>
      <c r="I660" s="25"/>
      <c r="J660" s="34"/>
      <c r="K660" s="32"/>
      <c r="L660" s="26"/>
      <c r="M660" s="67"/>
      <c r="N660" s="28"/>
      <c r="O660" s="67"/>
      <c r="P660" s="26"/>
      <c r="Q660" s="67"/>
      <c r="R660" s="28"/>
      <c r="S660" s="27"/>
      <c r="T660" s="28"/>
      <c r="U660" s="27"/>
      <c r="V660" s="28"/>
      <c r="W660" s="68"/>
      <c r="X660" s="88"/>
      <c r="Y660" s="88"/>
      <c r="Z660" s="88"/>
      <c r="AA660" s="88"/>
      <c r="AB660" s="88"/>
      <c r="AC660" s="88"/>
    </row>
    <row r="661" spans="1:29" ht="28.5" hidden="1" customHeight="1" x14ac:dyDescent="0.2">
      <c r="A661" s="13" t="s">
        <v>9</v>
      </c>
      <c r="B661" s="111"/>
      <c r="C661" s="93" t="s">
        <v>36</v>
      </c>
      <c r="D661" s="40" t="s">
        <v>295</v>
      </c>
      <c r="E661" s="41" t="s">
        <v>331</v>
      </c>
      <c r="F661" s="40"/>
      <c r="G661" s="42" t="s">
        <v>107</v>
      </c>
      <c r="H661" s="43">
        <f>32.19*0.1*1.15*1</f>
        <v>3.7018499999999994</v>
      </c>
      <c r="I661" s="44"/>
      <c r="J661" s="45"/>
      <c r="K661" s="46"/>
      <c r="L661" s="17"/>
      <c r="M661" s="47"/>
      <c r="N661" s="18"/>
      <c r="O661" s="47"/>
      <c r="P661" s="17"/>
      <c r="Q661" s="47"/>
      <c r="R661" s="18"/>
      <c r="S661" s="48"/>
      <c r="T661" s="49"/>
      <c r="U661" s="48"/>
      <c r="V661" s="49"/>
      <c r="W661" s="29"/>
      <c r="X661" s="89" t="s">
        <v>330</v>
      </c>
      <c r="Y661" s="8"/>
      <c r="Z661" s="8"/>
      <c r="AA661" s="8"/>
      <c r="AB661" s="8"/>
      <c r="AC661" s="8"/>
    </row>
    <row r="662" spans="1:29" s="69" customFormat="1" ht="28.5" customHeight="1" x14ac:dyDescent="0.2">
      <c r="A662" s="66" t="s">
        <v>8</v>
      </c>
      <c r="B662" s="33" t="s">
        <v>445</v>
      </c>
      <c r="C662" s="23" t="s">
        <v>36</v>
      </c>
      <c r="D662" s="23" t="s">
        <v>295</v>
      </c>
      <c r="E662" s="24" t="s">
        <v>369</v>
      </c>
      <c r="F662" s="36"/>
      <c r="G662" s="37" t="s">
        <v>119</v>
      </c>
      <c r="H662" s="38">
        <f>H663/1.15</f>
        <v>32.19</v>
      </c>
      <c r="I662" s="25"/>
      <c r="J662" s="34"/>
      <c r="K662" s="32"/>
      <c r="L662" s="26"/>
      <c r="M662" s="67"/>
      <c r="N662" s="28"/>
      <c r="O662" s="67"/>
      <c r="P662" s="26"/>
      <c r="Q662" s="67"/>
      <c r="R662" s="28"/>
      <c r="S662" s="27"/>
      <c r="T662" s="28"/>
      <c r="U662" s="27"/>
      <c r="V662" s="28"/>
      <c r="W662" s="68"/>
      <c r="X662" s="88"/>
      <c r="Y662" s="88"/>
      <c r="Z662" s="88"/>
      <c r="AA662" s="88"/>
      <c r="AB662" s="88"/>
      <c r="AC662" s="88"/>
    </row>
    <row r="663" spans="1:29" ht="28.5" hidden="1" customHeight="1" x14ac:dyDescent="0.2">
      <c r="A663" s="13" t="s">
        <v>9</v>
      </c>
      <c r="B663" s="111"/>
      <c r="C663" s="93" t="s">
        <v>36</v>
      </c>
      <c r="D663" s="40" t="s">
        <v>295</v>
      </c>
      <c r="E663" s="41" t="s">
        <v>332</v>
      </c>
      <c r="F663" s="40"/>
      <c r="G663" s="42" t="s">
        <v>113</v>
      </c>
      <c r="H663" s="43">
        <f>32.19*1.15*1</f>
        <v>37.018499999999996</v>
      </c>
      <c r="I663" s="44"/>
      <c r="J663" s="45"/>
      <c r="K663" s="46"/>
      <c r="L663" s="17"/>
      <c r="M663" s="47"/>
      <c r="N663" s="18"/>
      <c r="O663" s="47"/>
      <c r="P663" s="17"/>
      <c r="Q663" s="47"/>
      <c r="R663" s="18"/>
      <c r="S663" s="48"/>
      <c r="T663" s="49"/>
      <c r="U663" s="48"/>
      <c r="V663" s="49"/>
      <c r="W663" s="29"/>
      <c r="X663" s="89" t="s">
        <v>328</v>
      </c>
      <c r="Y663" s="8"/>
      <c r="Z663" s="8"/>
      <c r="AA663" s="8"/>
      <c r="AB663" s="8"/>
      <c r="AC663" s="8"/>
    </row>
    <row r="664" spans="1:29" s="85" customFormat="1" ht="28.5" customHeight="1" x14ac:dyDescent="0.2">
      <c r="A664" s="70" t="s">
        <v>14</v>
      </c>
      <c r="B664" s="71">
        <v>36</v>
      </c>
      <c r="C664" s="72" t="s">
        <v>36</v>
      </c>
      <c r="D664" s="75" t="s">
        <v>295</v>
      </c>
      <c r="E664" s="74" t="s">
        <v>318</v>
      </c>
      <c r="F664" s="75"/>
      <c r="G664" s="73" t="s">
        <v>69</v>
      </c>
      <c r="H664" s="76">
        <v>1</v>
      </c>
      <c r="I664" s="77"/>
      <c r="J664" s="76"/>
      <c r="K664" s="78"/>
      <c r="L664" s="79"/>
      <c r="M664" s="80"/>
      <c r="N664" s="81"/>
      <c r="O664" s="82"/>
      <c r="P664" s="79"/>
      <c r="Q664" s="80"/>
      <c r="R664" s="81"/>
      <c r="S664" s="80"/>
      <c r="T664" s="83"/>
      <c r="U664" s="84"/>
      <c r="V664" s="83"/>
    </row>
    <row r="665" spans="1:29" s="69" customFormat="1" ht="28.5" customHeight="1" x14ac:dyDescent="0.2">
      <c r="A665" s="66" t="s">
        <v>8</v>
      </c>
      <c r="B665" s="33" t="s">
        <v>446</v>
      </c>
      <c r="C665" s="23" t="s">
        <v>36</v>
      </c>
      <c r="D665" s="23" t="s">
        <v>295</v>
      </c>
      <c r="E665" s="24" t="s">
        <v>367</v>
      </c>
      <c r="F665" s="36"/>
      <c r="G665" s="37" t="s">
        <v>110</v>
      </c>
      <c r="H665" s="38">
        <f>SUM(H666:H670)/1.03</f>
        <v>4.29608E-2</v>
      </c>
      <c r="I665" s="25"/>
      <c r="J665" s="34"/>
      <c r="K665" s="32"/>
      <c r="L665" s="26"/>
      <c r="M665" s="67"/>
      <c r="N665" s="28"/>
      <c r="O665" s="67"/>
      <c r="P665" s="26"/>
      <c r="Q665" s="67"/>
      <c r="R665" s="28"/>
      <c r="S665" s="27"/>
      <c r="T665" s="28"/>
      <c r="U665" s="27"/>
      <c r="V665" s="28"/>
      <c r="W665" s="68"/>
      <c r="X665" s="88"/>
      <c r="Y665" s="88"/>
      <c r="Z665" s="88"/>
      <c r="AA665" s="88"/>
      <c r="AB665" s="88"/>
      <c r="AC665" s="88"/>
    </row>
    <row r="666" spans="1:29" ht="28.5" hidden="1" customHeight="1" x14ac:dyDescent="0.2">
      <c r="A666" s="13" t="s">
        <v>9</v>
      </c>
      <c r="B666" s="111"/>
      <c r="C666" s="93" t="s">
        <v>36</v>
      </c>
      <c r="D666" s="40" t="s">
        <v>295</v>
      </c>
      <c r="E666" s="41" t="s">
        <v>346</v>
      </c>
      <c r="F666" s="40"/>
      <c r="G666" s="42" t="s">
        <v>110</v>
      </c>
      <c r="H666" s="113">
        <f>((0.94*0.43)*4)*1/1000*1.03</f>
        <v>1.6653039999999998E-3</v>
      </c>
      <c r="I666" s="44"/>
      <c r="J666" s="45"/>
      <c r="K666" s="46"/>
      <c r="L666" s="17"/>
      <c r="M666" s="47"/>
      <c r="N666" s="18"/>
      <c r="O666" s="47"/>
      <c r="P666" s="17"/>
      <c r="Q666" s="47"/>
      <c r="R666" s="18"/>
      <c r="S666" s="48"/>
      <c r="T666" s="49"/>
      <c r="U666" s="48"/>
      <c r="V666" s="49"/>
      <c r="W666" s="29"/>
      <c r="X666" s="89" t="s">
        <v>127</v>
      </c>
      <c r="Y666" s="8"/>
      <c r="Z666" s="8"/>
      <c r="AA666" s="8"/>
      <c r="AB666" s="8"/>
      <c r="AC666" s="8"/>
    </row>
    <row r="667" spans="1:29" ht="28.5" hidden="1" customHeight="1" x14ac:dyDescent="0.2">
      <c r="A667" s="13" t="s">
        <v>9</v>
      </c>
      <c r="B667" s="111"/>
      <c r="C667" s="93" t="s">
        <v>36</v>
      </c>
      <c r="D667" s="40" t="s">
        <v>295</v>
      </c>
      <c r="E667" s="41" t="s">
        <v>336</v>
      </c>
      <c r="F667" s="40"/>
      <c r="G667" s="42" t="s">
        <v>110</v>
      </c>
      <c r="H667" s="113">
        <f>(0.94*5.4)*1/1000*1.03</f>
        <v>5.2282800000000001E-3</v>
      </c>
      <c r="I667" s="44"/>
      <c r="J667" s="45"/>
      <c r="K667" s="46"/>
      <c r="L667" s="17"/>
      <c r="M667" s="47"/>
      <c r="N667" s="18"/>
      <c r="O667" s="47"/>
      <c r="P667" s="17"/>
      <c r="Q667" s="47"/>
      <c r="R667" s="18"/>
      <c r="S667" s="48"/>
      <c r="T667" s="49"/>
      <c r="U667" s="48"/>
      <c r="V667" s="49"/>
      <c r="W667" s="29"/>
      <c r="X667" s="89" t="s">
        <v>127</v>
      </c>
      <c r="Y667" s="8"/>
      <c r="Z667" s="8"/>
      <c r="AA667" s="8"/>
      <c r="AB667" s="8"/>
      <c r="AC667" s="8"/>
    </row>
    <row r="668" spans="1:29" ht="28.5" hidden="1" customHeight="1" x14ac:dyDescent="0.2">
      <c r="A668" s="13" t="s">
        <v>9</v>
      </c>
      <c r="B668" s="111"/>
      <c r="C668" s="93" t="s">
        <v>36</v>
      </c>
      <c r="D668" s="40" t="s">
        <v>295</v>
      </c>
      <c r="E668" s="41" t="s">
        <v>337</v>
      </c>
      <c r="F668" s="40"/>
      <c r="G668" s="42" t="s">
        <v>110</v>
      </c>
      <c r="H668" s="113">
        <f>(0.94*7.6)*1/1000*1.03</f>
        <v>7.3583199999999998E-3</v>
      </c>
      <c r="I668" s="44"/>
      <c r="J668" s="45"/>
      <c r="K668" s="46"/>
      <c r="L668" s="17"/>
      <c r="M668" s="47"/>
      <c r="N668" s="18"/>
      <c r="O668" s="47"/>
      <c r="P668" s="17"/>
      <c r="Q668" s="47"/>
      <c r="R668" s="18"/>
      <c r="S668" s="48"/>
      <c r="T668" s="49"/>
      <c r="U668" s="48"/>
      <c r="V668" s="49"/>
      <c r="W668" s="29"/>
      <c r="X668" s="89" t="s">
        <v>127</v>
      </c>
      <c r="Y668" s="8"/>
      <c r="Z668" s="8"/>
      <c r="AA668" s="8"/>
      <c r="AB668" s="8"/>
      <c r="AC668" s="8"/>
    </row>
    <row r="669" spans="1:29" ht="28.5" hidden="1" customHeight="1" x14ac:dyDescent="0.2">
      <c r="A669" s="13" t="s">
        <v>9</v>
      </c>
      <c r="B669" s="111"/>
      <c r="C669" s="93" t="s">
        <v>36</v>
      </c>
      <c r="D669" s="40" t="s">
        <v>295</v>
      </c>
      <c r="E669" s="41" t="s">
        <v>338</v>
      </c>
      <c r="F669" s="40"/>
      <c r="G669" s="42" t="s">
        <v>110</v>
      </c>
      <c r="H669" s="43">
        <f>(2.2*6.64)*1/1000*1.03</f>
        <v>1.5046240000000002E-2</v>
      </c>
      <c r="I669" s="44"/>
      <c r="J669" s="45"/>
      <c r="K669" s="46"/>
      <c r="L669" s="17"/>
      <c r="M669" s="47"/>
      <c r="N669" s="18"/>
      <c r="O669" s="47"/>
      <c r="P669" s="17"/>
      <c r="Q669" s="47"/>
      <c r="R669" s="18"/>
      <c r="S669" s="48"/>
      <c r="T669" s="49"/>
      <c r="U669" s="48"/>
      <c r="V669" s="49"/>
      <c r="W669" s="29"/>
      <c r="X669" s="89" t="s">
        <v>127</v>
      </c>
      <c r="Y669" s="8"/>
      <c r="Z669" s="8"/>
      <c r="AA669" s="8"/>
      <c r="AB669" s="8"/>
      <c r="AC669" s="8"/>
    </row>
    <row r="670" spans="1:29" ht="28.5" hidden="1" customHeight="1" x14ac:dyDescent="0.2">
      <c r="A670" s="13" t="s">
        <v>9</v>
      </c>
      <c r="B670" s="111"/>
      <c r="C670" s="93" t="s">
        <v>36</v>
      </c>
      <c r="D670" s="40" t="s">
        <v>295</v>
      </c>
      <c r="E670" s="41" t="s">
        <v>345</v>
      </c>
      <c r="F670" s="40"/>
      <c r="G670" s="42" t="s">
        <v>110</v>
      </c>
      <c r="H670" s="43">
        <f>(1.91*7.6)*1/1000*1.03</f>
        <v>1.4951479999999998E-2</v>
      </c>
      <c r="I670" s="44"/>
      <c r="J670" s="45"/>
      <c r="K670" s="46"/>
      <c r="L670" s="17"/>
      <c r="M670" s="47"/>
      <c r="N670" s="18"/>
      <c r="O670" s="47"/>
      <c r="P670" s="17"/>
      <c r="Q670" s="47"/>
      <c r="R670" s="18"/>
      <c r="S670" s="48"/>
      <c r="T670" s="49"/>
      <c r="U670" s="48"/>
      <c r="V670" s="49"/>
      <c r="W670" s="29"/>
      <c r="X670" s="89" t="s">
        <v>127</v>
      </c>
      <c r="Y670" s="8"/>
      <c r="Z670" s="8"/>
      <c r="AA670" s="8"/>
      <c r="AB670" s="8"/>
      <c r="AC670" s="8"/>
    </row>
    <row r="671" spans="1:29" s="69" customFormat="1" ht="28.5" customHeight="1" x14ac:dyDescent="0.2">
      <c r="A671" s="66" t="s">
        <v>8</v>
      </c>
      <c r="B671" s="33" t="s">
        <v>447</v>
      </c>
      <c r="C671" s="23" t="s">
        <v>36</v>
      </c>
      <c r="D671" s="23" t="s">
        <v>295</v>
      </c>
      <c r="E671" s="24" t="s">
        <v>373</v>
      </c>
      <c r="F671" s="36"/>
      <c r="G671" s="37" t="s">
        <v>119</v>
      </c>
      <c r="H671" s="38">
        <f>H672/1.15</f>
        <v>3.26</v>
      </c>
      <c r="I671" s="25"/>
      <c r="J671" s="34"/>
      <c r="K671" s="32"/>
      <c r="L671" s="26"/>
      <c r="M671" s="67"/>
      <c r="N671" s="28"/>
      <c r="O671" s="67"/>
      <c r="P671" s="26"/>
      <c r="Q671" s="67"/>
      <c r="R671" s="28"/>
      <c r="S671" s="27"/>
      <c r="T671" s="28"/>
      <c r="U671" s="27"/>
      <c r="V671" s="28"/>
      <c r="W671" s="68"/>
      <c r="X671" s="88"/>
      <c r="Y671" s="88"/>
      <c r="Z671" s="88"/>
      <c r="AA671" s="88"/>
      <c r="AB671" s="88"/>
      <c r="AC671" s="88"/>
    </row>
    <row r="672" spans="1:29" ht="28.5" hidden="1" customHeight="1" x14ac:dyDescent="0.2">
      <c r="A672" s="13" t="s">
        <v>9</v>
      </c>
      <c r="B672" s="111"/>
      <c r="C672" s="93" t="s">
        <v>36</v>
      </c>
      <c r="D672" s="40" t="s">
        <v>295</v>
      </c>
      <c r="E672" s="41" t="s">
        <v>339</v>
      </c>
      <c r="F672" s="40"/>
      <c r="G672" s="42" t="s">
        <v>113</v>
      </c>
      <c r="H672" s="43">
        <f>3.26*1.15*1</f>
        <v>3.7489999999999997</v>
      </c>
      <c r="I672" s="44"/>
      <c r="J672" s="45"/>
      <c r="K672" s="46"/>
      <c r="L672" s="17"/>
      <c r="M672" s="47"/>
      <c r="N672" s="18"/>
      <c r="O672" s="47"/>
      <c r="P672" s="17"/>
      <c r="Q672" s="47"/>
      <c r="R672" s="18"/>
      <c r="S672" s="48"/>
      <c r="T672" s="49"/>
      <c r="U672" s="48"/>
      <c r="V672" s="49"/>
      <c r="W672" s="29"/>
      <c r="X672" s="89" t="s">
        <v>328</v>
      </c>
      <c r="Y672" s="8"/>
      <c r="Z672" s="8"/>
      <c r="AA672" s="8"/>
      <c r="AB672" s="8"/>
      <c r="AC672" s="8"/>
    </row>
    <row r="673" spans="1:29" ht="28.5" hidden="1" customHeight="1" x14ac:dyDescent="0.2">
      <c r="A673" s="13" t="s">
        <v>9</v>
      </c>
      <c r="B673" s="111"/>
      <c r="C673" s="93" t="s">
        <v>36</v>
      </c>
      <c r="D673" s="40" t="s">
        <v>295</v>
      </c>
      <c r="E673" s="41" t="s">
        <v>374</v>
      </c>
      <c r="F673" s="40"/>
      <c r="G673" s="42" t="s">
        <v>69</v>
      </c>
      <c r="H673" s="43">
        <f>H671*8</f>
        <v>26.08</v>
      </c>
      <c r="I673" s="44"/>
      <c r="J673" s="45"/>
      <c r="K673" s="46"/>
      <c r="L673" s="17"/>
      <c r="M673" s="47"/>
      <c r="N673" s="18"/>
      <c r="O673" s="47"/>
      <c r="P673" s="17"/>
      <c r="Q673" s="47"/>
      <c r="R673" s="18"/>
      <c r="S673" s="48"/>
      <c r="T673" s="49"/>
      <c r="U673" s="48"/>
      <c r="V673" s="49"/>
      <c r="W673" s="29"/>
      <c r="X673" s="89" t="s">
        <v>375</v>
      </c>
      <c r="Y673" s="8"/>
      <c r="Z673" s="8"/>
      <c r="AA673" s="8"/>
      <c r="AB673" s="8"/>
      <c r="AC673" s="8"/>
    </row>
    <row r="674" spans="1:29" s="85" customFormat="1" ht="28.5" customHeight="1" x14ac:dyDescent="0.2">
      <c r="A674" s="70" t="s">
        <v>14</v>
      </c>
      <c r="B674" s="71">
        <v>37</v>
      </c>
      <c r="C674" s="72" t="s">
        <v>36</v>
      </c>
      <c r="D674" s="75" t="s">
        <v>295</v>
      </c>
      <c r="E674" s="74" t="s">
        <v>309</v>
      </c>
      <c r="F674" s="75"/>
      <c r="G674" s="73" t="s">
        <v>69</v>
      </c>
      <c r="H674" s="76">
        <v>1</v>
      </c>
      <c r="I674" s="77"/>
      <c r="J674" s="76"/>
      <c r="K674" s="78"/>
      <c r="L674" s="79"/>
      <c r="M674" s="80"/>
      <c r="N674" s="81"/>
      <c r="O674" s="82"/>
      <c r="P674" s="79"/>
      <c r="Q674" s="80"/>
      <c r="R674" s="81"/>
      <c r="S674" s="80"/>
      <c r="T674" s="83"/>
      <c r="U674" s="84"/>
      <c r="V674" s="83"/>
    </row>
    <row r="675" spans="1:29" s="69" customFormat="1" ht="28.5" customHeight="1" x14ac:dyDescent="0.2">
      <c r="A675" s="66" t="s">
        <v>8</v>
      </c>
      <c r="B675" s="33" t="s">
        <v>448</v>
      </c>
      <c r="C675" s="23" t="s">
        <v>36</v>
      </c>
      <c r="D675" s="23" t="s">
        <v>295</v>
      </c>
      <c r="E675" s="24" t="s">
        <v>366</v>
      </c>
      <c r="F675" s="36"/>
      <c r="G675" s="37" t="s">
        <v>110</v>
      </c>
      <c r="H675" s="38">
        <f>SUM(H676:H680)/1.03</f>
        <v>0.43815101499999998</v>
      </c>
      <c r="I675" s="25"/>
      <c r="J675" s="34"/>
      <c r="K675" s="32"/>
      <c r="L675" s="26"/>
      <c r="M675" s="67"/>
      <c r="N675" s="28"/>
      <c r="O675" s="67"/>
      <c r="P675" s="26"/>
      <c r="Q675" s="67"/>
      <c r="R675" s="28"/>
      <c r="S675" s="27"/>
      <c r="T675" s="28"/>
      <c r="U675" s="27"/>
      <c r="V675" s="28"/>
      <c r="W675" s="68"/>
      <c r="X675" s="88"/>
      <c r="Y675" s="88"/>
      <c r="Z675" s="88"/>
      <c r="AA675" s="88"/>
      <c r="AB675" s="88"/>
      <c r="AC675" s="88"/>
    </row>
    <row r="676" spans="1:29" ht="28.5" hidden="1" customHeight="1" x14ac:dyDescent="0.2">
      <c r="A676" s="13" t="s">
        <v>9</v>
      </c>
      <c r="B676" s="111"/>
      <c r="C676" s="93" t="s">
        <v>36</v>
      </c>
      <c r="D676" s="40" t="s">
        <v>295</v>
      </c>
      <c r="E676" s="41" t="s">
        <v>320</v>
      </c>
      <c r="F676" s="40"/>
      <c r="G676" s="42" t="s">
        <v>110</v>
      </c>
      <c r="H676" s="43">
        <f>(5.2*10.79)*1/1000*1.03</f>
        <v>5.7791240000000001E-2</v>
      </c>
      <c r="I676" s="44"/>
      <c r="J676" s="45"/>
      <c r="K676" s="46"/>
      <c r="L676" s="17"/>
      <c r="M676" s="47"/>
      <c r="N676" s="18"/>
      <c r="O676" s="47"/>
      <c r="P676" s="17"/>
      <c r="Q676" s="47"/>
      <c r="R676" s="18"/>
      <c r="S676" s="48"/>
      <c r="T676" s="49"/>
      <c r="U676" s="48"/>
      <c r="V676" s="49"/>
      <c r="W676" s="29"/>
      <c r="X676" s="89" t="s">
        <v>127</v>
      </c>
      <c r="Y676" s="8"/>
      <c r="Z676" s="8"/>
      <c r="AA676" s="8"/>
      <c r="AB676" s="8"/>
      <c r="AC676" s="8"/>
    </row>
    <row r="677" spans="1:29" ht="28.5" hidden="1" customHeight="1" x14ac:dyDescent="0.2">
      <c r="A677" s="13" t="s">
        <v>9</v>
      </c>
      <c r="B677" s="111"/>
      <c r="C677" s="93" t="s">
        <v>36</v>
      </c>
      <c r="D677" s="40" t="s">
        <v>295</v>
      </c>
      <c r="E677" s="41" t="s">
        <v>321</v>
      </c>
      <c r="F677" s="40"/>
      <c r="G677" s="42" t="s">
        <v>110</v>
      </c>
      <c r="H677" s="43">
        <f>(34.24*6.39)*1/1000*1.03</f>
        <v>0.22535740800000001</v>
      </c>
      <c r="I677" s="44"/>
      <c r="J677" s="45"/>
      <c r="K677" s="46"/>
      <c r="L677" s="17"/>
      <c r="M677" s="47"/>
      <c r="N677" s="18"/>
      <c r="O677" s="47"/>
      <c r="P677" s="17"/>
      <c r="Q677" s="47"/>
      <c r="R677" s="18"/>
      <c r="S677" s="48"/>
      <c r="T677" s="49"/>
      <c r="U677" s="48"/>
      <c r="V677" s="49"/>
      <c r="W677" s="29"/>
      <c r="X677" s="89" t="s">
        <v>127</v>
      </c>
      <c r="Y677" s="8"/>
      <c r="Z677" s="8"/>
      <c r="AA677" s="8"/>
      <c r="AB677" s="8"/>
      <c r="AC677" s="8"/>
    </row>
    <row r="678" spans="1:29" ht="28.5" hidden="1" customHeight="1" x14ac:dyDescent="0.2">
      <c r="A678" s="13" t="s">
        <v>9</v>
      </c>
      <c r="B678" s="111"/>
      <c r="C678" s="93" t="s">
        <v>36</v>
      </c>
      <c r="D678" s="40" t="s">
        <v>295</v>
      </c>
      <c r="E678" s="41" t="s">
        <v>322</v>
      </c>
      <c r="F678" s="40"/>
      <c r="G678" s="42" t="s">
        <v>110</v>
      </c>
      <c r="H678" s="113">
        <f>((1.91*0.3)*8)*1/1000*1.03</f>
        <v>4.7215199999999999E-3</v>
      </c>
      <c r="I678" s="44"/>
      <c r="J678" s="45"/>
      <c r="K678" s="46"/>
      <c r="L678" s="17"/>
      <c r="M678" s="47"/>
      <c r="N678" s="18"/>
      <c r="O678" s="47"/>
      <c r="P678" s="17"/>
      <c r="Q678" s="47"/>
      <c r="R678" s="18"/>
      <c r="S678" s="48"/>
      <c r="T678" s="49"/>
      <c r="U678" s="48"/>
      <c r="V678" s="49"/>
      <c r="W678" s="29"/>
      <c r="X678" s="89" t="s">
        <v>127</v>
      </c>
      <c r="Y678" s="8"/>
      <c r="Z678" s="8"/>
      <c r="AA678" s="8"/>
      <c r="AB678" s="8"/>
      <c r="AC678" s="8"/>
    </row>
    <row r="679" spans="1:29" ht="28.5" hidden="1" customHeight="1" x14ac:dyDescent="0.2">
      <c r="A679" s="13" t="s">
        <v>9</v>
      </c>
      <c r="B679" s="111"/>
      <c r="C679" s="93" t="s">
        <v>36</v>
      </c>
      <c r="D679" s="40" t="s">
        <v>295</v>
      </c>
      <c r="E679" s="41" t="s">
        <v>323</v>
      </c>
      <c r="F679" s="40"/>
      <c r="G679" s="42" t="s">
        <v>110</v>
      </c>
      <c r="H679" s="43">
        <f>(2.35*37.28)*1/1000*1.03</f>
        <v>9.0236240000000009E-2</v>
      </c>
      <c r="I679" s="44"/>
      <c r="J679" s="45"/>
      <c r="K679" s="46"/>
      <c r="L679" s="17"/>
      <c r="M679" s="47"/>
      <c r="N679" s="18"/>
      <c r="O679" s="47"/>
      <c r="P679" s="17"/>
      <c r="Q679" s="47"/>
      <c r="R679" s="18"/>
      <c r="S679" s="48"/>
      <c r="T679" s="49"/>
      <c r="U679" s="48"/>
      <c r="V679" s="49"/>
      <c r="W679" s="29"/>
      <c r="X679" s="89" t="s">
        <v>127</v>
      </c>
      <c r="Y679" s="8"/>
      <c r="Z679" s="8"/>
      <c r="AA679" s="8"/>
      <c r="AB679" s="8"/>
      <c r="AC679" s="8"/>
    </row>
    <row r="680" spans="1:29" ht="28.5" hidden="1" customHeight="1" x14ac:dyDescent="0.2">
      <c r="A680" s="13" t="s">
        <v>9</v>
      </c>
      <c r="B680" s="111"/>
      <c r="C680" s="93" t="s">
        <v>36</v>
      </c>
      <c r="D680" s="40" t="s">
        <v>295</v>
      </c>
      <c r="E680" s="41" t="s">
        <v>350</v>
      </c>
      <c r="F680" s="40"/>
      <c r="G680" s="42" t="s">
        <v>110</v>
      </c>
      <c r="H680" s="43">
        <f>((1.43*2.11)*23.55)*1/1000*1.03</f>
        <v>7.3189137449999983E-2</v>
      </c>
      <c r="I680" s="44"/>
      <c r="J680" s="45"/>
      <c r="K680" s="46"/>
      <c r="L680" s="17"/>
      <c r="M680" s="47"/>
      <c r="N680" s="18"/>
      <c r="O680" s="47"/>
      <c r="P680" s="17"/>
      <c r="Q680" s="47"/>
      <c r="R680" s="18"/>
      <c r="S680" s="48"/>
      <c r="T680" s="49"/>
      <c r="U680" s="48"/>
      <c r="V680" s="49"/>
      <c r="W680" s="29"/>
      <c r="X680" s="89" t="s">
        <v>127</v>
      </c>
      <c r="Y680" s="8"/>
      <c r="Z680" s="8"/>
      <c r="AA680" s="8"/>
      <c r="AB680" s="8"/>
      <c r="AC680" s="8"/>
    </row>
    <row r="681" spans="1:29" s="69" customFormat="1" ht="38.25" x14ac:dyDescent="0.2">
      <c r="A681" s="66" t="s">
        <v>8</v>
      </c>
      <c r="B681" s="33" t="s">
        <v>449</v>
      </c>
      <c r="C681" s="23" t="s">
        <v>36</v>
      </c>
      <c r="D681" s="23" t="s">
        <v>295</v>
      </c>
      <c r="E681" s="24" t="s">
        <v>508</v>
      </c>
      <c r="F681" s="36"/>
      <c r="G681" s="37" t="s">
        <v>128</v>
      </c>
      <c r="H681" s="38">
        <f>SUM(H682:H683)/1.15</f>
        <v>0.61199999999999999</v>
      </c>
      <c r="I681" s="25"/>
      <c r="J681" s="34"/>
      <c r="K681" s="32"/>
      <c r="L681" s="26"/>
      <c r="M681" s="67"/>
      <c r="N681" s="28"/>
      <c r="O681" s="67"/>
      <c r="P681" s="26"/>
      <c r="Q681" s="67"/>
      <c r="R681" s="28"/>
      <c r="S681" s="27"/>
      <c r="T681" s="28"/>
      <c r="U681" s="27"/>
      <c r="V681" s="28"/>
      <c r="W681" s="68"/>
      <c r="X681" s="88"/>
      <c r="Y681" s="88"/>
      <c r="Z681" s="88"/>
      <c r="AA681" s="88"/>
      <c r="AB681" s="88"/>
      <c r="AC681" s="88"/>
    </row>
    <row r="682" spans="1:29" ht="28.5" hidden="1" customHeight="1" x14ac:dyDescent="0.2">
      <c r="A682" s="13" t="s">
        <v>9</v>
      </c>
      <c r="B682" s="111"/>
      <c r="C682" s="93" t="s">
        <v>36</v>
      </c>
      <c r="D682" s="40" t="s">
        <v>295</v>
      </c>
      <c r="E682" s="41" t="s">
        <v>325</v>
      </c>
      <c r="F682" s="40"/>
      <c r="G682" s="42" t="s">
        <v>107</v>
      </c>
      <c r="H682" s="43">
        <f>0.35*1.15*1</f>
        <v>0.40249999999999997</v>
      </c>
      <c r="I682" s="44"/>
      <c r="J682" s="45"/>
      <c r="K682" s="46"/>
      <c r="L682" s="17"/>
      <c r="M682" s="47"/>
      <c r="N682" s="18"/>
      <c r="O682" s="47"/>
      <c r="P682" s="17"/>
      <c r="Q682" s="47"/>
      <c r="R682" s="18"/>
      <c r="S682" s="48"/>
      <c r="T682" s="49"/>
      <c r="U682" s="48"/>
      <c r="V682" s="49"/>
      <c r="W682" s="29"/>
      <c r="X682" s="89" t="s">
        <v>170</v>
      </c>
      <c r="Y682" s="8"/>
      <c r="Z682" s="8"/>
      <c r="AA682" s="8"/>
      <c r="AB682" s="8"/>
      <c r="AC682" s="8"/>
    </row>
    <row r="683" spans="1:29" ht="28.5" hidden="1" customHeight="1" x14ac:dyDescent="0.2">
      <c r="A683" s="13" t="s">
        <v>9</v>
      </c>
      <c r="B683" s="111"/>
      <c r="C683" s="93" t="s">
        <v>36</v>
      </c>
      <c r="D683" s="40" t="s">
        <v>295</v>
      </c>
      <c r="E683" s="41" t="s">
        <v>326</v>
      </c>
      <c r="F683" s="40"/>
      <c r="G683" s="42" t="s">
        <v>107</v>
      </c>
      <c r="H683" s="43">
        <f>0.262*1.15*1</f>
        <v>0.30130000000000001</v>
      </c>
      <c r="I683" s="44"/>
      <c r="J683" s="45"/>
      <c r="K683" s="46"/>
      <c r="L683" s="17"/>
      <c r="M683" s="47"/>
      <c r="N683" s="18"/>
      <c r="O683" s="47"/>
      <c r="P683" s="17"/>
      <c r="Q683" s="47"/>
      <c r="R683" s="18"/>
      <c r="S683" s="48"/>
      <c r="T683" s="49"/>
      <c r="U683" s="48"/>
      <c r="V683" s="49"/>
      <c r="W683" s="29"/>
      <c r="X683" s="89" t="s">
        <v>170</v>
      </c>
      <c r="Y683" s="8"/>
      <c r="Z683" s="8"/>
      <c r="AA683" s="8"/>
      <c r="AB683" s="8"/>
      <c r="AC683" s="8"/>
    </row>
    <row r="684" spans="1:29" s="69" customFormat="1" ht="28.5" customHeight="1" x14ac:dyDescent="0.2">
      <c r="A684" s="66" t="s">
        <v>8</v>
      </c>
      <c r="B684" s="33" t="s">
        <v>450</v>
      </c>
      <c r="C684" s="23" t="s">
        <v>36</v>
      </c>
      <c r="D684" s="23" t="s">
        <v>295</v>
      </c>
      <c r="E684" s="24" t="s">
        <v>370</v>
      </c>
      <c r="F684" s="36"/>
      <c r="G684" s="37" t="s">
        <v>119</v>
      </c>
      <c r="H684" s="38">
        <f>H685/1.15</f>
        <v>17.55</v>
      </c>
      <c r="I684" s="25"/>
      <c r="J684" s="34"/>
      <c r="K684" s="32"/>
      <c r="L684" s="26"/>
      <c r="M684" s="67"/>
      <c r="N684" s="28"/>
      <c r="O684" s="67"/>
      <c r="P684" s="26"/>
      <c r="Q684" s="67"/>
      <c r="R684" s="28"/>
      <c r="S684" s="27"/>
      <c r="T684" s="28"/>
      <c r="U684" s="27"/>
      <c r="V684" s="28"/>
      <c r="W684" s="68"/>
      <c r="X684" s="114" t="s">
        <v>512</v>
      </c>
      <c r="Y684" s="114"/>
      <c r="Z684" s="114"/>
      <c r="AA684" s="88"/>
      <c r="AB684" s="88"/>
      <c r="AC684" s="88"/>
    </row>
    <row r="685" spans="1:29" ht="28.5" hidden="1" customHeight="1" x14ac:dyDescent="0.2">
      <c r="A685" s="13" t="s">
        <v>9</v>
      </c>
      <c r="B685" s="111"/>
      <c r="C685" s="93" t="s">
        <v>36</v>
      </c>
      <c r="D685" s="40" t="s">
        <v>295</v>
      </c>
      <c r="E685" s="41" t="s">
        <v>327</v>
      </c>
      <c r="F685" s="40"/>
      <c r="G685" s="42" t="s">
        <v>113</v>
      </c>
      <c r="H685" s="43">
        <f>17.55*1.15*1</f>
        <v>20.182500000000001</v>
      </c>
      <c r="I685" s="44"/>
      <c r="J685" s="45"/>
      <c r="K685" s="46"/>
      <c r="L685" s="17"/>
      <c r="M685" s="47"/>
      <c r="N685" s="18"/>
      <c r="O685" s="47"/>
      <c r="P685" s="17"/>
      <c r="Q685" s="47"/>
      <c r="R685" s="18"/>
      <c r="S685" s="48"/>
      <c r="T685" s="49"/>
      <c r="U685" s="48"/>
      <c r="V685" s="49"/>
      <c r="W685" s="29"/>
      <c r="X685" s="89" t="s">
        <v>328</v>
      </c>
      <c r="Y685" s="8"/>
      <c r="Z685" s="8"/>
      <c r="AA685" s="8"/>
      <c r="AB685" s="8"/>
      <c r="AC685" s="8"/>
    </row>
    <row r="686" spans="1:29" s="69" customFormat="1" ht="28.5" customHeight="1" x14ac:dyDescent="0.2">
      <c r="A686" s="66" t="s">
        <v>8</v>
      </c>
      <c r="B686" s="33" t="s">
        <v>451</v>
      </c>
      <c r="C686" s="23" t="s">
        <v>36</v>
      </c>
      <c r="D686" s="23" t="s">
        <v>295</v>
      </c>
      <c r="E686" s="24" t="s">
        <v>371</v>
      </c>
      <c r="F686" s="36"/>
      <c r="G686" s="37" t="s">
        <v>193</v>
      </c>
      <c r="H686" s="38">
        <f>H687/1.15</f>
        <v>4.0999999999999996</v>
      </c>
      <c r="I686" s="25"/>
      <c r="J686" s="34"/>
      <c r="K686" s="32"/>
      <c r="L686" s="26"/>
      <c r="M686" s="67"/>
      <c r="N686" s="28"/>
      <c r="O686" s="67"/>
      <c r="P686" s="26"/>
      <c r="Q686" s="67"/>
      <c r="R686" s="28"/>
      <c r="S686" s="27"/>
      <c r="T686" s="28"/>
      <c r="U686" s="27"/>
      <c r="V686" s="28"/>
      <c r="W686" s="68"/>
      <c r="X686" s="114" t="s">
        <v>510</v>
      </c>
      <c r="Y686" s="114"/>
      <c r="Z686" s="114"/>
      <c r="AA686" s="114"/>
      <c r="AB686" s="114"/>
      <c r="AC686" s="114"/>
    </row>
    <row r="687" spans="1:29" ht="28.5" hidden="1" customHeight="1" x14ac:dyDescent="0.2">
      <c r="A687" s="13" t="s">
        <v>9</v>
      </c>
      <c r="B687" s="111"/>
      <c r="C687" s="93" t="s">
        <v>36</v>
      </c>
      <c r="D687" s="40" t="s">
        <v>295</v>
      </c>
      <c r="E687" s="41" t="s">
        <v>329</v>
      </c>
      <c r="F687" s="40"/>
      <c r="G687" s="42" t="s">
        <v>193</v>
      </c>
      <c r="H687" s="43">
        <f>4.1*1.15*1</f>
        <v>4.714999999999999</v>
      </c>
      <c r="I687" s="44"/>
      <c r="J687" s="45"/>
      <c r="K687" s="46"/>
      <c r="L687" s="17"/>
      <c r="M687" s="47"/>
      <c r="N687" s="18"/>
      <c r="O687" s="47"/>
      <c r="P687" s="17"/>
      <c r="Q687" s="47"/>
      <c r="R687" s="18"/>
      <c r="S687" s="48"/>
      <c r="T687" s="49"/>
      <c r="U687" s="48"/>
      <c r="V687" s="49"/>
      <c r="W687" s="29"/>
      <c r="X687" s="89" t="s">
        <v>330</v>
      </c>
      <c r="Y687" s="8"/>
      <c r="Z687" s="8"/>
      <c r="AA687" s="8"/>
      <c r="AB687" s="8"/>
      <c r="AC687" s="8"/>
    </row>
    <row r="688" spans="1:29" ht="28.5" hidden="1" customHeight="1" x14ac:dyDescent="0.2">
      <c r="A688" s="13" t="s">
        <v>9</v>
      </c>
      <c r="B688" s="111"/>
      <c r="C688" s="93" t="s">
        <v>36</v>
      </c>
      <c r="D688" s="40" t="s">
        <v>295</v>
      </c>
      <c r="E688" s="41" t="s">
        <v>191</v>
      </c>
      <c r="F688" s="40"/>
      <c r="G688" s="42" t="s">
        <v>69</v>
      </c>
      <c r="H688" s="112">
        <f>H686/0.2*1</f>
        <v>20.499999999999996</v>
      </c>
      <c r="I688" s="44"/>
      <c r="J688" s="45"/>
      <c r="K688" s="46"/>
      <c r="L688" s="17"/>
      <c r="M688" s="47"/>
      <c r="N688" s="18"/>
      <c r="O688" s="47"/>
      <c r="P688" s="17"/>
      <c r="Q688" s="47"/>
      <c r="R688" s="18"/>
      <c r="S688" s="48"/>
      <c r="T688" s="49"/>
      <c r="U688" s="48"/>
      <c r="V688" s="49"/>
      <c r="W688" s="29"/>
      <c r="X688" s="89" t="s">
        <v>333</v>
      </c>
      <c r="Y688" s="8"/>
      <c r="Z688" s="8"/>
      <c r="AA688" s="8"/>
      <c r="AB688" s="8"/>
      <c r="AC688" s="8"/>
    </row>
    <row r="689" spans="1:29" s="69" customFormat="1" ht="28.5" customHeight="1" x14ac:dyDescent="0.2">
      <c r="A689" s="66" t="s">
        <v>8</v>
      </c>
      <c r="B689" s="33" t="s">
        <v>452</v>
      </c>
      <c r="C689" s="23" t="s">
        <v>36</v>
      </c>
      <c r="D689" s="23" t="s">
        <v>295</v>
      </c>
      <c r="E689" s="24" t="s">
        <v>368</v>
      </c>
      <c r="F689" s="36"/>
      <c r="G689" s="37" t="s">
        <v>128</v>
      </c>
      <c r="H689" s="38">
        <f>H690/1.15</f>
        <v>1.798</v>
      </c>
      <c r="I689" s="25"/>
      <c r="J689" s="34"/>
      <c r="K689" s="32"/>
      <c r="L689" s="26"/>
      <c r="M689" s="67"/>
      <c r="N689" s="28"/>
      <c r="O689" s="67"/>
      <c r="P689" s="26"/>
      <c r="Q689" s="67"/>
      <c r="R689" s="28"/>
      <c r="S689" s="27"/>
      <c r="T689" s="28"/>
      <c r="U689" s="27"/>
      <c r="V689" s="28"/>
      <c r="W689" s="68"/>
      <c r="X689" s="88"/>
      <c r="Y689" s="88"/>
      <c r="Z689" s="88"/>
      <c r="AA689" s="88"/>
      <c r="AB689" s="88"/>
      <c r="AC689" s="88"/>
    </row>
    <row r="690" spans="1:29" ht="28.5" hidden="1" customHeight="1" x14ac:dyDescent="0.2">
      <c r="A690" s="13" t="s">
        <v>9</v>
      </c>
      <c r="B690" s="111"/>
      <c r="C690" s="93" t="s">
        <v>36</v>
      </c>
      <c r="D690" s="40" t="s">
        <v>295</v>
      </c>
      <c r="E690" s="41" t="s">
        <v>331</v>
      </c>
      <c r="F690" s="40"/>
      <c r="G690" s="42" t="s">
        <v>107</v>
      </c>
      <c r="H690" s="43">
        <f>17.98*0.1*1.15*1</f>
        <v>2.0676999999999999</v>
      </c>
      <c r="I690" s="44"/>
      <c r="J690" s="45"/>
      <c r="K690" s="46"/>
      <c r="L690" s="17"/>
      <c r="M690" s="47"/>
      <c r="N690" s="18"/>
      <c r="O690" s="47"/>
      <c r="P690" s="17"/>
      <c r="Q690" s="47"/>
      <c r="R690" s="18"/>
      <c r="S690" s="48"/>
      <c r="T690" s="49"/>
      <c r="U690" s="48"/>
      <c r="V690" s="49"/>
      <c r="W690" s="29"/>
      <c r="X690" s="89" t="s">
        <v>330</v>
      </c>
      <c r="Y690" s="8"/>
      <c r="Z690" s="8"/>
      <c r="AA690" s="8"/>
      <c r="AB690" s="8"/>
      <c r="AC690" s="8"/>
    </row>
    <row r="691" spans="1:29" s="69" customFormat="1" ht="28.5" customHeight="1" x14ac:dyDescent="0.2">
      <c r="A691" s="66" t="s">
        <v>8</v>
      </c>
      <c r="B691" s="33" t="s">
        <v>453</v>
      </c>
      <c r="C691" s="23" t="s">
        <v>36</v>
      </c>
      <c r="D691" s="23" t="s">
        <v>295</v>
      </c>
      <c r="E691" s="24" t="s">
        <v>369</v>
      </c>
      <c r="F691" s="36"/>
      <c r="G691" s="37" t="s">
        <v>119</v>
      </c>
      <c r="H691" s="38">
        <f>H692/1.15</f>
        <v>17.98</v>
      </c>
      <c r="I691" s="25"/>
      <c r="J691" s="34"/>
      <c r="K691" s="32"/>
      <c r="L691" s="26"/>
      <c r="M691" s="67"/>
      <c r="N691" s="28"/>
      <c r="O691" s="67"/>
      <c r="P691" s="26"/>
      <c r="Q691" s="67"/>
      <c r="R691" s="28"/>
      <c r="S691" s="27"/>
      <c r="T691" s="28"/>
      <c r="U691" s="27"/>
      <c r="V691" s="28"/>
      <c r="W691" s="68"/>
      <c r="X691" s="88"/>
      <c r="Y691" s="88"/>
      <c r="Z691" s="88"/>
      <c r="AA691" s="88"/>
      <c r="AB691" s="88"/>
      <c r="AC691" s="88"/>
    </row>
    <row r="692" spans="1:29" ht="28.5" hidden="1" customHeight="1" x14ac:dyDescent="0.2">
      <c r="A692" s="13" t="s">
        <v>9</v>
      </c>
      <c r="B692" s="111"/>
      <c r="C692" s="93" t="s">
        <v>36</v>
      </c>
      <c r="D692" s="40" t="s">
        <v>295</v>
      </c>
      <c r="E692" s="41" t="s">
        <v>332</v>
      </c>
      <c r="F692" s="40"/>
      <c r="G692" s="42" t="s">
        <v>113</v>
      </c>
      <c r="H692" s="43">
        <f>17.98*1.15*1</f>
        <v>20.677</v>
      </c>
      <c r="I692" s="44"/>
      <c r="J692" s="45"/>
      <c r="K692" s="46"/>
      <c r="L692" s="17"/>
      <c r="M692" s="47"/>
      <c r="N692" s="18"/>
      <c r="O692" s="47"/>
      <c r="P692" s="17"/>
      <c r="Q692" s="47"/>
      <c r="R692" s="18"/>
      <c r="S692" s="48"/>
      <c r="T692" s="49"/>
      <c r="U692" s="48"/>
      <c r="V692" s="49"/>
      <c r="W692" s="29"/>
      <c r="X692" s="89" t="s">
        <v>328</v>
      </c>
      <c r="Y692" s="8"/>
      <c r="Z692" s="8"/>
      <c r="AA692" s="8"/>
      <c r="AB692" s="8"/>
      <c r="AC692" s="8"/>
    </row>
    <row r="693" spans="1:29" s="85" customFormat="1" ht="28.5" customHeight="1" x14ac:dyDescent="0.2">
      <c r="A693" s="70" t="s">
        <v>14</v>
      </c>
      <c r="B693" s="71">
        <v>38</v>
      </c>
      <c r="C693" s="72" t="s">
        <v>36</v>
      </c>
      <c r="D693" s="75" t="s">
        <v>295</v>
      </c>
      <c r="E693" s="74" t="s">
        <v>319</v>
      </c>
      <c r="F693" s="75"/>
      <c r="G693" s="73" t="s">
        <v>69</v>
      </c>
      <c r="H693" s="76">
        <v>1</v>
      </c>
      <c r="I693" s="77"/>
      <c r="J693" s="76"/>
      <c r="K693" s="78"/>
      <c r="L693" s="79"/>
      <c r="M693" s="80"/>
      <c r="N693" s="81"/>
      <c r="O693" s="82"/>
      <c r="P693" s="79"/>
      <c r="Q693" s="80"/>
      <c r="R693" s="81"/>
      <c r="S693" s="80"/>
      <c r="T693" s="83"/>
      <c r="U693" s="84"/>
      <c r="V693" s="83"/>
    </row>
    <row r="694" spans="1:29" s="69" customFormat="1" ht="28.5" customHeight="1" x14ac:dyDescent="0.2">
      <c r="A694" s="66" t="s">
        <v>8</v>
      </c>
      <c r="B694" s="33" t="s">
        <v>454</v>
      </c>
      <c r="C694" s="23" t="s">
        <v>36</v>
      </c>
      <c r="D694" s="23" t="s">
        <v>295</v>
      </c>
      <c r="E694" s="24" t="s">
        <v>367</v>
      </c>
      <c r="F694" s="36"/>
      <c r="G694" s="37" t="s">
        <v>110</v>
      </c>
      <c r="H694" s="38">
        <f>SUM(H695:H699)/1.03</f>
        <v>2.5346800000000003E-2</v>
      </c>
      <c r="I694" s="25"/>
      <c r="J694" s="34"/>
      <c r="K694" s="32"/>
      <c r="L694" s="26"/>
      <c r="M694" s="67"/>
      <c r="N694" s="28"/>
      <c r="O694" s="67"/>
      <c r="P694" s="26"/>
      <c r="Q694" s="67"/>
      <c r="R694" s="28"/>
      <c r="S694" s="27"/>
      <c r="T694" s="28"/>
      <c r="U694" s="27"/>
      <c r="V694" s="28"/>
      <c r="W694" s="68"/>
      <c r="X694" s="88"/>
      <c r="Y694" s="88"/>
      <c r="Z694" s="88"/>
      <c r="AA694" s="88"/>
      <c r="AB694" s="88"/>
      <c r="AC694" s="88"/>
    </row>
    <row r="695" spans="1:29" ht="28.5" hidden="1" customHeight="1" x14ac:dyDescent="0.2">
      <c r="A695" s="13" t="s">
        <v>9</v>
      </c>
      <c r="B695" s="111"/>
      <c r="C695" s="93" t="s">
        <v>36</v>
      </c>
      <c r="D695" s="40" t="s">
        <v>295</v>
      </c>
      <c r="E695" s="41" t="s">
        <v>335</v>
      </c>
      <c r="F695" s="40"/>
      <c r="G695" s="42" t="s">
        <v>110</v>
      </c>
      <c r="H695" s="113">
        <f>((0.94*0.38)*4)*1/1000*1.03</f>
        <v>1.4716639999999999E-3</v>
      </c>
      <c r="I695" s="44"/>
      <c r="J695" s="45"/>
      <c r="K695" s="46"/>
      <c r="L695" s="17"/>
      <c r="M695" s="47"/>
      <c r="N695" s="18"/>
      <c r="O695" s="47"/>
      <c r="P695" s="17"/>
      <c r="Q695" s="47"/>
      <c r="R695" s="18"/>
      <c r="S695" s="48"/>
      <c r="T695" s="49"/>
      <c r="U695" s="48"/>
      <c r="V695" s="49"/>
      <c r="W695" s="29"/>
      <c r="X695" s="89" t="s">
        <v>127</v>
      </c>
      <c r="Y695" s="8"/>
      <c r="Z695" s="8"/>
      <c r="AA695" s="8"/>
      <c r="AB695" s="8"/>
      <c r="AC695" s="8"/>
    </row>
    <row r="696" spans="1:29" ht="28.5" hidden="1" customHeight="1" x14ac:dyDescent="0.2">
      <c r="A696" s="13" t="s">
        <v>9</v>
      </c>
      <c r="B696" s="111"/>
      <c r="C696" s="93" t="s">
        <v>36</v>
      </c>
      <c r="D696" s="40" t="s">
        <v>295</v>
      </c>
      <c r="E696" s="41" t="s">
        <v>336</v>
      </c>
      <c r="F696" s="40"/>
      <c r="G696" s="42" t="s">
        <v>110</v>
      </c>
      <c r="H696" s="113">
        <f>(0.94*2.6)*1/1000*1.03</f>
        <v>2.51732E-3</v>
      </c>
      <c r="I696" s="44"/>
      <c r="J696" s="45"/>
      <c r="K696" s="46"/>
      <c r="L696" s="17"/>
      <c r="M696" s="47"/>
      <c r="N696" s="18"/>
      <c r="O696" s="47"/>
      <c r="P696" s="17"/>
      <c r="Q696" s="47"/>
      <c r="R696" s="18"/>
      <c r="S696" s="48"/>
      <c r="T696" s="49"/>
      <c r="U696" s="48"/>
      <c r="V696" s="49"/>
      <c r="W696" s="29"/>
      <c r="X696" s="89" t="s">
        <v>127</v>
      </c>
      <c r="Y696" s="8"/>
      <c r="Z696" s="8"/>
      <c r="AA696" s="8"/>
      <c r="AB696" s="8"/>
      <c r="AC696" s="8"/>
    </row>
    <row r="697" spans="1:29" ht="28.5" hidden="1" customHeight="1" x14ac:dyDescent="0.2">
      <c r="A697" s="13" t="s">
        <v>9</v>
      </c>
      <c r="B697" s="111"/>
      <c r="C697" s="93" t="s">
        <v>36</v>
      </c>
      <c r="D697" s="40" t="s">
        <v>295</v>
      </c>
      <c r="E697" s="41" t="s">
        <v>337</v>
      </c>
      <c r="F697" s="40"/>
      <c r="G697" s="42" t="s">
        <v>110</v>
      </c>
      <c r="H697" s="113">
        <f>(0.94*4.2)*1/1000*1.03</f>
        <v>4.0664400000000002E-3</v>
      </c>
      <c r="I697" s="44"/>
      <c r="J697" s="45"/>
      <c r="K697" s="46"/>
      <c r="L697" s="17"/>
      <c r="M697" s="47"/>
      <c r="N697" s="18"/>
      <c r="O697" s="47"/>
      <c r="P697" s="17"/>
      <c r="Q697" s="47"/>
      <c r="R697" s="18"/>
      <c r="S697" s="48"/>
      <c r="T697" s="49"/>
      <c r="U697" s="48"/>
      <c r="V697" s="49"/>
      <c r="W697" s="29"/>
      <c r="X697" s="89" t="s">
        <v>127</v>
      </c>
      <c r="Y697" s="8"/>
      <c r="Z697" s="8"/>
      <c r="AA697" s="8"/>
      <c r="AB697" s="8"/>
      <c r="AC697" s="8"/>
    </row>
    <row r="698" spans="1:29" ht="28.5" hidden="1" customHeight="1" x14ac:dyDescent="0.2">
      <c r="A698" s="13" t="s">
        <v>9</v>
      </c>
      <c r="B698" s="111"/>
      <c r="C698" s="93" t="s">
        <v>36</v>
      </c>
      <c r="D698" s="40" t="s">
        <v>295</v>
      </c>
      <c r="E698" s="41" t="s">
        <v>338</v>
      </c>
      <c r="F698" s="40"/>
      <c r="G698" s="42" t="s">
        <v>110</v>
      </c>
      <c r="H698" s="43">
        <f>(2.2*4.32)*1/1000*1.03</f>
        <v>9.7891200000000018E-3</v>
      </c>
      <c r="I698" s="44"/>
      <c r="J698" s="45"/>
      <c r="K698" s="46"/>
      <c r="L698" s="17"/>
      <c r="M698" s="47"/>
      <c r="N698" s="18"/>
      <c r="O698" s="47"/>
      <c r="P698" s="17"/>
      <c r="Q698" s="47"/>
      <c r="R698" s="18"/>
      <c r="S698" s="48"/>
      <c r="T698" s="49"/>
      <c r="U698" s="48"/>
      <c r="V698" s="49"/>
      <c r="W698" s="29"/>
      <c r="X698" s="89" t="s">
        <v>127</v>
      </c>
      <c r="Y698" s="8"/>
      <c r="Z698" s="8"/>
      <c r="AA698" s="8"/>
      <c r="AB698" s="8"/>
      <c r="AC698" s="8"/>
    </row>
    <row r="699" spans="1:29" ht="28.5" hidden="1" customHeight="1" x14ac:dyDescent="0.2">
      <c r="A699" s="13" t="s">
        <v>9</v>
      </c>
      <c r="B699" s="111"/>
      <c r="C699" s="93" t="s">
        <v>36</v>
      </c>
      <c r="D699" s="40" t="s">
        <v>295</v>
      </c>
      <c r="E699" s="41" t="s">
        <v>345</v>
      </c>
      <c r="F699" s="40"/>
      <c r="G699" s="42" t="s">
        <v>110</v>
      </c>
      <c r="H699" s="43">
        <f>(1.91*4.2)*1/1000*1.03</f>
        <v>8.2626599999999998E-3</v>
      </c>
      <c r="I699" s="44"/>
      <c r="J699" s="45"/>
      <c r="K699" s="46"/>
      <c r="L699" s="17"/>
      <c r="M699" s="47"/>
      <c r="N699" s="18"/>
      <c r="O699" s="47"/>
      <c r="P699" s="17"/>
      <c r="Q699" s="47"/>
      <c r="R699" s="18"/>
      <c r="S699" s="48"/>
      <c r="T699" s="49"/>
      <c r="U699" s="48"/>
      <c r="V699" s="49"/>
      <c r="W699" s="29"/>
      <c r="X699" s="89" t="s">
        <v>127</v>
      </c>
      <c r="Y699" s="8"/>
      <c r="Z699" s="8"/>
      <c r="AA699" s="8"/>
      <c r="AB699" s="8"/>
      <c r="AC699" s="8"/>
    </row>
    <row r="700" spans="1:29" s="69" customFormat="1" ht="28.5" customHeight="1" x14ac:dyDescent="0.2">
      <c r="A700" s="66" t="s">
        <v>8</v>
      </c>
      <c r="B700" s="33" t="s">
        <v>455</v>
      </c>
      <c r="C700" s="23" t="s">
        <v>36</v>
      </c>
      <c r="D700" s="23" t="s">
        <v>295</v>
      </c>
      <c r="E700" s="24" t="s">
        <v>373</v>
      </c>
      <c r="F700" s="36"/>
      <c r="G700" s="37" t="s">
        <v>119</v>
      </c>
      <c r="H700" s="38">
        <f>H701/1.15</f>
        <v>1.7600000000000002</v>
      </c>
      <c r="I700" s="25"/>
      <c r="J700" s="34"/>
      <c r="K700" s="32"/>
      <c r="L700" s="26"/>
      <c r="M700" s="67"/>
      <c r="N700" s="28"/>
      <c r="O700" s="67"/>
      <c r="P700" s="26"/>
      <c r="Q700" s="67"/>
      <c r="R700" s="28"/>
      <c r="S700" s="27"/>
      <c r="T700" s="28"/>
      <c r="U700" s="27"/>
      <c r="V700" s="28"/>
      <c r="W700" s="68"/>
      <c r="X700" s="88"/>
      <c r="Y700" s="88"/>
      <c r="Z700" s="88"/>
      <c r="AA700" s="88"/>
      <c r="AB700" s="88"/>
      <c r="AC700" s="88"/>
    </row>
    <row r="701" spans="1:29" ht="28.5" hidden="1" customHeight="1" x14ac:dyDescent="0.2">
      <c r="A701" s="13" t="s">
        <v>9</v>
      </c>
      <c r="B701" s="111"/>
      <c r="C701" s="93" t="s">
        <v>36</v>
      </c>
      <c r="D701" s="40" t="s">
        <v>295</v>
      </c>
      <c r="E701" s="41" t="s">
        <v>339</v>
      </c>
      <c r="F701" s="40"/>
      <c r="G701" s="42" t="s">
        <v>113</v>
      </c>
      <c r="H701" s="43">
        <f>1.76*1.15*1</f>
        <v>2.024</v>
      </c>
      <c r="I701" s="44"/>
      <c r="J701" s="45"/>
      <c r="K701" s="46"/>
      <c r="L701" s="17"/>
      <c r="M701" s="47"/>
      <c r="N701" s="18"/>
      <c r="O701" s="47"/>
      <c r="P701" s="17"/>
      <c r="Q701" s="47"/>
      <c r="R701" s="18"/>
      <c r="S701" s="48"/>
      <c r="T701" s="49"/>
      <c r="U701" s="48"/>
      <c r="V701" s="49"/>
      <c r="W701" s="29"/>
      <c r="X701" s="89" t="s">
        <v>328</v>
      </c>
      <c r="Y701" s="8"/>
      <c r="Z701" s="8"/>
      <c r="AA701" s="8"/>
      <c r="AB701" s="8"/>
      <c r="AC701" s="8"/>
    </row>
    <row r="702" spans="1:29" ht="28.5" hidden="1" customHeight="1" x14ac:dyDescent="0.2">
      <c r="A702" s="13" t="s">
        <v>9</v>
      </c>
      <c r="B702" s="111"/>
      <c r="C702" s="93" t="s">
        <v>36</v>
      </c>
      <c r="D702" s="40" t="s">
        <v>295</v>
      </c>
      <c r="E702" s="41" t="s">
        <v>374</v>
      </c>
      <c r="F702" s="40"/>
      <c r="G702" s="42" t="s">
        <v>69</v>
      </c>
      <c r="H702" s="43">
        <f>H700*8</f>
        <v>14.080000000000002</v>
      </c>
      <c r="I702" s="44"/>
      <c r="J702" s="45"/>
      <c r="K702" s="46"/>
      <c r="L702" s="17"/>
      <c r="M702" s="47"/>
      <c r="N702" s="18"/>
      <c r="O702" s="47"/>
      <c r="P702" s="17"/>
      <c r="Q702" s="47"/>
      <c r="R702" s="18"/>
      <c r="S702" s="48"/>
      <c r="T702" s="49"/>
      <c r="U702" s="48"/>
      <c r="V702" s="49"/>
      <c r="W702" s="29"/>
      <c r="X702" s="89" t="s">
        <v>375</v>
      </c>
      <c r="Y702" s="8"/>
      <c r="Z702" s="8"/>
      <c r="AA702" s="8"/>
      <c r="AB702" s="8"/>
      <c r="AC702" s="8"/>
    </row>
    <row r="703" spans="1:29" s="85" customFormat="1" ht="28.5" customHeight="1" x14ac:dyDescent="0.2">
      <c r="A703" s="70" t="s">
        <v>14</v>
      </c>
      <c r="B703" s="71">
        <v>39</v>
      </c>
      <c r="C703" s="72" t="s">
        <v>36</v>
      </c>
      <c r="D703" s="75" t="s">
        <v>295</v>
      </c>
      <c r="E703" s="74" t="s">
        <v>372</v>
      </c>
      <c r="F703" s="75"/>
      <c r="G703" s="73"/>
      <c r="H703" s="76"/>
      <c r="I703" s="77"/>
      <c r="J703" s="76"/>
      <c r="K703" s="78"/>
      <c r="L703" s="79"/>
      <c r="M703" s="80"/>
      <c r="N703" s="81"/>
      <c r="O703" s="82"/>
      <c r="P703" s="79"/>
      <c r="Q703" s="80"/>
      <c r="R703" s="81"/>
      <c r="S703" s="80"/>
      <c r="T703" s="83"/>
      <c r="U703" s="84"/>
      <c r="V703" s="83"/>
    </row>
    <row r="704" spans="1:29" s="69" customFormat="1" ht="28.5" customHeight="1" x14ac:dyDescent="0.2">
      <c r="A704" s="66" t="s">
        <v>8</v>
      </c>
      <c r="B704" s="33" t="s">
        <v>456</v>
      </c>
      <c r="C704" s="23" t="s">
        <v>36</v>
      </c>
      <c r="D704" s="23" t="s">
        <v>295</v>
      </c>
      <c r="E704" s="24" t="s">
        <v>120</v>
      </c>
      <c r="F704" s="36"/>
      <c r="G704" s="37" t="s">
        <v>119</v>
      </c>
      <c r="H704" s="38" cm="1">
        <f t="array" ref="H704">SUM(H695:H699+H676:H680+H666:H670+H647:H651+H637:H641+H618:H622+H608:H612+H589:H593+H579:H583+H560:H564+H550:H554+H531:H535+H521:H525+H502:H506+H492:H496+H473:H477+H463:H467+H444:H448+H434:H438+H415:H419+H405:H409+H386:H390)*30</f>
        <v>421.10409795149991</v>
      </c>
      <c r="I704" s="25"/>
      <c r="J704" s="34"/>
      <c r="K704" s="32"/>
      <c r="L704" s="26"/>
      <c r="M704" s="67"/>
      <c r="N704" s="28"/>
      <c r="O704" s="67"/>
      <c r="P704" s="26"/>
      <c r="Q704" s="67"/>
      <c r="R704" s="28"/>
      <c r="S704" s="27"/>
      <c r="T704" s="28"/>
      <c r="U704" s="27"/>
      <c r="V704" s="28"/>
      <c r="W704" s="68"/>
      <c r="X704" s="88"/>
      <c r="Y704" s="88"/>
      <c r="Z704" s="88"/>
      <c r="AA704" s="88"/>
      <c r="AB704" s="88"/>
      <c r="AC704" s="88"/>
    </row>
    <row r="705" spans="1:29" ht="28.5" hidden="1" customHeight="1" x14ac:dyDescent="0.2">
      <c r="A705" s="13" t="s">
        <v>9</v>
      </c>
      <c r="B705" s="39"/>
      <c r="C705" s="93" t="s">
        <v>36</v>
      </c>
      <c r="D705" s="40" t="s">
        <v>295</v>
      </c>
      <c r="E705" s="41" t="s">
        <v>118</v>
      </c>
      <c r="F705" s="40"/>
      <c r="G705" s="42" t="s">
        <v>105</v>
      </c>
      <c r="H705" s="43">
        <f>H704*0.08*1.13</f>
        <v>38.067810454815593</v>
      </c>
      <c r="I705" s="44"/>
      <c r="J705" s="45"/>
      <c r="K705" s="46"/>
      <c r="L705" s="17"/>
      <c r="M705" s="47"/>
      <c r="N705" s="18"/>
      <c r="O705" s="47"/>
      <c r="P705" s="17"/>
      <c r="Q705" s="47"/>
      <c r="R705" s="18"/>
      <c r="S705" s="48"/>
      <c r="T705" s="49"/>
      <c r="U705" s="48"/>
      <c r="V705" s="49"/>
      <c r="W705" s="29"/>
      <c r="X705" s="89" t="s">
        <v>122</v>
      </c>
      <c r="Y705" s="8"/>
      <c r="Z705" s="8"/>
      <c r="AA705" s="8"/>
      <c r="AB705" s="8"/>
      <c r="AC705" s="8"/>
    </row>
    <row r="706" spans="1:29" ht="28.5" hidden="1" customHeight="1" x14ac:dyDescent="0.2">
      <c r="A706" s="13" t="s">
        <v>9</v>
      </c>
      <c r="B706" s="39"/>
      <c r="C706" s="93" t="s">
        <v>36</v>
      </c>
      <c r="D706" s="40" t="s">
        <v>295</v>
      </c>
      <c r="E706" s="41" t="s">
        <v>121</v>
      </c>
      <c r="F706" s="40"/>
      <c r="G706" s="42" t="s">
        <v>105</v>
      </c>
      <c r="H706" s="43">
        <f>H704*0.14*2*1.13</f>
        <v>133.23733659185459</v>
      </c>
      <c r="I706" s="44"/>
      <c r="J706" s="45"/>
      <c r="K706" s="46"/>
      <c r="L706" s="17"/>
      <c r="M706" s="47"/>
      <c r="N706" s="18"/>
      <c r="O706" s="47"/>
      <c r="P706" s="17"/>
      <c r="Q706" s="47"/>
      <c r="R706" s="18"/>
      <c r="S706" s="48"/>
      <c r="T706" s="49"/>
      <c r="U706" s="48"/>
      <c r="V706" s="49"/>
      <c r="W706" s="29"/>
      <c r="X706" s="89" t="s">
        <v>123</v>
      </c>
      <c r="Y706" s="8"/>
      <c r="Z706" s="8"/>
      <c r="AA706" s="8"/>
      <c r="AB706" s="8"/>
      <c r="AC706" s="8"/>
    </row>
    <row r="707" spans="1:29" s="64" customFormat="1" ht="28.5" customHeight="1" x14ac:dyDescent="0.2">
      <c r="A707" s="50" t="s">
        <v>14</v>
      </c>
      <c r="B707" s="94" t="s">
        <v>289</v>
      </c>
      <c r="C707" s="51" t="s">
        <v>36</v>
      </c>
      <c r="D707" s="52"/>
      <c r="E707" s="53" t="s">
        <v>462</v>
      </c>
      <c r="F707" s="54"/>
      <c r="G707" s="52"/>
      <c r="H707" s="55"/>
      <c r="I707" s="56"/>
      <c r="J707" s="55"/>
      <c r="K707" s="57"/>
      <c r="L707" s="58"/>
      <c r="M707" s="59"/>
      <c r="N707" s="60"/>
      <c r="O707" s="61"/>
      <c r="P707" s="58"/>
      <c r="Q707" s="59"/>
      <c r="R707" s="60"/>
      <c r="S707" s="59"/>
      <c r="T707" s="62"/>
      <c r="U707" s="63"/>
      <c r="V707" s="62"/>
    </row>
    <row r="708" spans="1:29" s="85" customFormat="1" ht="28.5" customHeight="1" x14ac:dyDescent="0.2">
      <c r="A708" s="70" t="s">
        <v>14</v>
      </c>
      <c r="B708" s="71">
        <v>40</v>
      </c>
      <c r="C708" s="72" t="s">
        <v>36</v>
      </c>
      <c r="D708" s="75" t="s">
        <v>461</v>
      </c>
      <c r="E708" s="74" t="s">
        <v>463</v>
      </c>
      <c r="F708" s="75"/>
      <c r="G708" s="73"/>
      <c r="H708" s="76"/>
      <c r="I708" s="77"/>
      <c r="J708" s="76"/>
      <c r="K708" s="78"/>
      <c r="L708" s="79"/>
      <c r="M708" s="80"/>
      <c r="N708" s="81"/>
      <c r="O708" s="82"/>
      <c r="P708" s="79"/>
      <c r="Q708" s="80"/>
      <c r="R708" s="81"/>
      <c r="S708" s="80"/>
      <c r="T708" s="83"/>
      <c r="U708" s="84"/>
      <c r="V708" s="83"/>
    </row>
    <row r="709" spans="1:29" s="69" customFormat="1" ht="28.5" customHeight="1" x14ac:dyDescent="0.2">
      <c r="A709" s="66" t="s">
        <v>8</v>
      </c>
      <c r="B709" s="33" t="s">
        <v>458</v>
      </c>
      <c r="C709" s="23" t="s">
        <v>36</v>
      </c>
      <c r="D709" s="23" t="s">
        <v>461</v>
      </c>
      <c r="E709" s="24" t="s">
        <v>464</v>
      </c>
      <c r="F709" s="36"/>
      <c r="G709" s="37" t="s">
        <v>119</v>
      </c>
      <c r="H709" s="38">
        <f>332.72</f>
        <v>332.72</v>
      </c>
      <c r="I709" s="25"/>
      <c r="J709" s="34"/>
      <c r="K709" s="32"/>
      <c r="L709" s="26"/>
      <c r="M709" s="67"/>
      <c r="N709" s="28"/>
      <c r="O709" s="67"/>
      <c r="P709" s="26"/>
      <c r="Q709" s="67"/>
      <c r="R709" s="28"/>
      <c r="S709" s="27"/>
      <c r="T709" s="28"/>
      <c r="U709" s="27"/>
      <c r="V709" s="28"/>
      <c r="W709" s="68"/>
      <c r="X709" s="88"/>
      <c r="Y709" s="88"/>
      <c r="Z709" s="88"/>
      <c r="AA709" s="88"/>
      <c r="AB709" s="88"/>
      <c r="AC709" s="88"/>
    </row>
    <row r="710" spans="1:29" ht="28.5" hidden="1" customHeight="1" x14ac:dyDescent="0.2">
      <c r="A710" s="13" t="s">
        <v>9</v>
      </c>
      <c r="B710" s="111"/>
      <c r="C710" s="93" t="s">
        <v>36</v>
      </c>
      <c r="D710" s="40" t="s">
        <v>461</v>
      </c>
      <c r="E710" s="41" t="s">
        <v>465</v>
      </c>
      <c r="F710" s="40"/>
      <c r="G710" s="42" t="s">
        <v>107</v>
      </c>
      <c r="H710" s="43">
        <f>H709*0.01*1.1</f>
        <v>3.6599200000000005</v>
      </c>
      <c r="I710" s="44"/>
      <c r="J710" s="45"/>
      <c r="K710" s="46"/>
      <c r="L710" s="17"/>
      <c r="M710" s="47"/>
      <c r="N710" s="18"/>
      <c r="O710" s="47"/>
      <c r="P710" s="17"/>
      <c r="Q710" s="47"/>
      <c r="R710" s="18"/>
      <c r="S710" s="48"/>
      <c r="T710" s="49"/>
      <c r="U710" s="48"/>
      <c r="V710" s="49"/>
      <c r="W710" s="29"/>
      <c r="X710" s="89" t="s">
        <v>498</v>
      </c>
      <c r="Y710" s="8"/>
      <c r="Z710" s="8"/>
      <c r="AA710" s="8"/>
      <c r="AB710" s="8"/>
      <c r="AC710" s="8"/>
    </row>
    <row r="711" spans="1:29" s="69" customFormat="1" ht="28.5" customHeight="1" x14ac:dyDescent="0.2">
      <c r="A711" s="66" t="s">
        <v>8</v>
      </c>
      <c r="B711" s="33" t="s">
        <v>459</v>
      </c>
      <c r="C711" s="23" t="s">
        <v>36</v>
      </c>
      <c r="D711" s="23" t="s">
        <v>461</v>
      </c>
      <c r="E711" s="24" t="s">
        <v>514</v>
      </c>
      <c r="F711" s="36"/>
      <c r="G711" s="37" t="s">
        <v>119</v>
      </c>
      <c r="H711" s="38">
        <f>H709</f>
        <v>332.72</v>
      </c>
      <c r="I711" s="25"/>
      <c r="J711" s="34"/>
      <c r="K711" s="32"/>
      <c r="L711" s="26"/>
      <c r="M711" s="67"/>
      <c r="N711" s="28"/>
      <c r="O711" s="67"/>
      <c r="P711" s="26"/>
      <c r="Q711" s="67"/>
      <c r="R711" s="28"/>
      <c r="S711" s="27"/>
      <c r="T711" s="28"/>
      <c r="U711" s="27"/>
      <c r="V711" s="28"/>
      <c r="W711" s="68"/>
      <c r="X711" s="88"/>
      <c r="Y711" s="88"/>
      <c r="Z711" s="88"/>
      <c r="AA711" s="88"/>
      <c r="AB711" s="88"/>
      <c r="AC711" s="88"/>
    </row>
    <row r="712" spans="1:29" ht="38.25" hidden="1" x14ac:dyDescent="0.2">
      <c r="A712" s="13" t="s">
        <v>9</v>
      </c>
      <c r="B712" s="111"/>
      <c r="C712" s="93" t="s">
        <v>36</v>
      </c>
      <c r="D712" s="40" t="s">
        <v>461</v>
      </c>
      <c r="E712" s="41" t="s">
        <v>466</v>
      </c>
      <c r="F712" s="40"/>
      <c r="G712" s="42" t="s">
        <v>119</v>
      </c>
      <c r="H712" s="43">
        <f>H711*1.15</f>
        <v>382.62799999999999</v>
      </c>
      <c r="I712" s="44"/>
      <c r="J712" s="45"/>
      <c r="K712" s="46"/>
      <c r="L712" s="17"/>
      <c r="M712" s="47"/>
      <c r="N712" s="18"/>
      <c r="O712" s="47"/>
      <c r="P712" s="17"/>
      <c r="Q712" s="47"/>
      <c r="R712" s="18"/>
      <c r="S712" s="48"/>
      <c r="T712" s="49"/>
      <c r="U712" s="48"/>
      <c r="V712" s="49"/>
      <c r="W712" s="29"/>
      <c r="X712" s="89" t="s">
        <v>499</v>
      </c>
      <c r="Y712" s="8"/>
      <c r="Z712" s="8"/>
      <c r="AA712" s="8"/>
      <c r="AB712" s="8"/>
      <c r="AC712" s="8"/>
    </row>
    <row r="713" spans="1:29" s="69" customFormat="1" ht="51" x14ac:dyDescent="0.2">
      <c r="A713" s="66" t="s">
        <v>8</v>
      </c>
      <c r="B713" s="33" t="s">
        <v>460</v>
      </c>
      <c r="C713" s="23" t="s">
        <v>36</v>
      </c>
      <c r="D713" s="23" t="s">
        <v>461</v>
      </c>
      <c r="E713" s="24" t="s">
        <v>467</v>
      </c>
      <c r="F713" s="36"/>
      <c r="G713" s="37" t="s">
        <v>128</v>
      </c>
      <c r="H713" s="38">
        <f>H709*0.24</f>
        <v>79.852800000000002</v>
      </c>
      <c r="I713" s="25"/>
      <c r="J713" s="34"/>
      <c r="K713" s="32"/>
      <c r="L713" s="26"/>
      <c r="M713" s="67"/>
      <c r="N713" s="28"/>
      <c r="O713" s="67"/>
      <c r="P713" s="26"/>
      <c r="Q713" s="67"/>
      <c r="R713" s="28"/>
      <c r="S713" s="27"/>
      <c r="T713" s="28"/>
      <c r="U713" s="27"/>
      <c r="V713" s="28"/>
      <c r="W713" s="68"/>
      <c r="X713" s="88"/>
      <c r="Y713" s="88"/>
      <c r="Z713" s="88"/>
      <c r="AA713" s="88"/>
      <c r="AB713" s="88"/>
      <c r="AC713" s="88"/>
    </row>
    <row r="714" spans="1:29" ht="28.5" hidden="1" customHeight="1" x14ac:dyDescent="0.2">
      <c r="A714" s="13" t="s">
        <v>9</v>
      </c>
      <c r="B714" s="111"/>
      <c r="C714" s="93" t="s">
        <v>36</v>
      </c>
      <c r="D714" s="40" t="s">
        <v>461</v>
      </c>
      <c r="E714" s="41" t="s">
        <v>468</v>
      </c>
      <c r="F714" s="40"/>
      <c r="G714" s="42" t="s">
        <v>128</v>
      </c>
      <c r="H714" s="43">
        <f>H713*1.15</f>
        <v>91.830719999999999</v>
      </c>
      <c r="I714" s="44"/>
      <c r="J714" s="45"/>
      <c r="K714" s="46"/>
      <c r="L714" s="17"/>
      <c r="M714" s="47"/>
      <c r="N714" s="18"/>
      <c r="O714" s="47"/>
      <c r="P714" s="17"/>
      <c r="Q714" s="47"/>
      <c r="R714" s="18"/>
      <c r="S714" s="48"/>
      <c r="T714" s="49"/>
      <c r="U714" s="48"/>
      <c r="V714" s="49"/>
      <c r="W714" s="29"/>
      <c r="X714" s="89" t="s">
        <v>500</v>
      </c>
      <c r="Y714" s="8"/>
      <c r="Z714" s="8"/>
      <c r="AA714" s="8"/>
      <c r="AB714" s="8"/>
      <c r="AC714" s="8"/>
    </row>
    <row r="715" spans="1:29" s="69" customFormat="1" ht="28.5" customHeight="1" x14ac:dyDescent="0.2">
      <c r="A715" s="66" t="s">
        <v>8</v>
      </c>
      <c r="B715" s="33" t="s">
        <v>469</v>
      </c>
      <c r="C715" s="23" t="s">
        <v>36</v>
      </c>
      <c r="D715" s="23" t="s">
        <v>461</v>
      </c>
      <c r="E715" s="24" t="s">
        <v>472</v>
      </c>
      <c r="F715" s="36"/>
      <c r="G715" s="37" t="s">
        <v>119</v>
      </c>
      <c r="H715" s="38">
        <f>H711</f>
        <v>332.72</v>
      </c>
      <c r="I715" s="25"/>
      <c r="J715" s="34"/>
      <c r="K715" s="32"/>
      <c r="L715" s="26"/>
      <c r="M715" s="67"/>
      <c r="N715" s="28"/>
      <c r="O715" s="67"/>
      <c r="P715" s="26"/>
      <c r="Q715" s="67"/>
      <c r="R715" s="28"/>
      <c r="S715" s="27"/>
      <c r="T715" s="28"/>
      <c r="U715" s="27"/>
      <c r="V715" s="28"/>
      <c r="W715" s="68"/>
      <c r="X715" s="88"/>
      <c r="Y715" s="88"/>
      <c r="Z715" s="88"/>
      <c r="AA715" s="88"/>
      <c r="AB715" s="88"/>
      <c r="AC715" s="88"/>
    </row>
    <row r="716" spans="1:29" ht="28.5" hidden="1" customHeight="1" x14ac:dyDescent="0.2">
      <c r="A716" s="13" t="s">
        <v>9</v>
      </c>
      <c r="B716" s="111"/>
      <c r="C716" s="93" t="s">
        <v>36</v>
      </c>
      <c r="D716" s="40" t="s">
        <v>461</v>
      </c>
      <c r="E716" s="41" t="s">
        <v>474</v>
      </c>
      <c r="F716" s="40"/>
      <c r="G716" s="42" t="s">
        <v>119</v>
      </c>
      <c r="H716" s="43">
        <f>H715*1.15</f>
        <v>382.62799999999999</v>
      </c>
      <c r="I716" s="44"/>
      <c r="J716" s="45"/>
      <c r="K716" s="46"/>
      <c r="L716" s="17"/>
      <c r="M716" s="47"/>
      <c r="N716" s="18"/>
      <c r="O716" s="47"/>
      <c r="P716" s="17"/>
      <c r="Q716" s="47"/>
      <c r="R716" s="18"/>
      <c r="S716" s="48"/>
      <c r="T716" s="49"/>
      <c r="U716" s="48"/>
      <c r="V716" s="49"/>
      <c r="W716" s="29"/>
      <c r="X716" s="89" t="s">
        <v>499</v>
      </c>
      <c r="Y716" s="8"/>
      <c r="Z716" s="8"/>
      <c r="AA716" s="8"/>
      <c r="AB716" s="8"/>
      <c r="AC716" s="8"/>
    </row>
    <row r="717" spans="1:29" s="69" customFormat="1" ht="28.5" customHeight="1" x14ac:dyDescent="0.2">
      <c r="A717" s="66" t="s">
        <v>8</v>
      </c>
      <c r="B717" s="33" t="s">
        <v>470</v>
      </c>
      <c r="C717" s="23" t="s">
        <v>36</v>
      </c>
      <c r="D717" s="23" t="s">
        <v>461</v>
      </c>
      <c r="E717" s="24" t="s">
        <v>473</v>
      </c>
      <c r="F717" s="36"/>
      <c r="G717" s="37" t="s">
        <v>119</v>
      </c>
      <c r="H717" s="38">
        <f>H709</f>
        <v>332.72</v>
      </c>
      <c r="I717" s="25"/>
      <c r="J717" s="34"/>
      <c r="K717" s="32"/>
      <c r="L717" s="26"/>
      <c r="M717" s="67"/>
      <c r="N717" s="28"/>
      <c r="O717" s="67"/>
      <c r="P717" s="26"/>
      <c r="Q717" s="67"/>
      <c r="R717" s="28"/>
      <c r="S717" s="27"/>
      <c r="T717" s="28"/>
      <c r="U717" s="27"/>
      <c r="V717" s="28"/>
      <c r="W717" s="68"/>
      <c r="X717" s="88"/>
      <c r="Y717" s="88"/>
      <c r="Z717" s="88"/>
      <c r="AA717" s="88"/>
      <c r="AB717" s="88"/>
      <c r="AC717" s="88"/>
    </row>
    <row r="718" spans="1:29" ht="28.5" hidden="1" customHeight="1" x14ac:dyDescent="0.2">
      <c r="A718" s="13" t="s">
        <v>9</v>
      </c>
      <c r="B718" s="111"/>
      <c r="C718" s="93" t="s">
        <v>36</v>
      </c>
      <c r="D718" s="40" t="s">
        <v>461</v>
      </c>
      <c r="E718" s="41" t="s">
        <v>465</v>
      </c>
      <c r="F718" s="40"/>
      <c r="G718" s="42" t="s">
        <v>107</v>
      </c>
      <c r="H718" s="43">
        <f>H717*0.04*1.1</f>
        <v>14.639680000000002</v>
      </c>
      <c r="I718" s="44"/>
      <c r="J718" s="45"/>
      <c r="K718" s="46"/>
      <c r="L718" s="17"/>
      <c r="M718" s="47"/>
      <c r="N718" s="18"/>
      <c r="O718" s="47"/>
      <c r="P718" s="17"/>
      <c r="Q718" s="47"/>
      <c r="R718" s="18"/>
      <c r="S718" s="48"/>
      <c r="T718" s="49"/>
      <c r="U718" s="48"/>
      <c r="V718" s="49"/>
      <c r="W718" s="29"/>
      <c r="X718" s="89" t="s">
        <v>498</v>
      </c>
      <c r="Y718" s="8"/>
      <c r="Z718" s="8"/>
      <c r="AA718" s="8"/>
      <c r="AB718" s="8"/>
      <c r="AC718" s="8"/>
    </row>
    <row r="719" spans="1:29" s="69" customFormat="1" ht="28.5" customHeight="1" x14ac:dyDescent="0.2">
      <c r="A719" s="66" t="s">
        <v>8</v>
      </c>
      <c r="B719" s="33" t="s">
        <v>471</v>
      </c>
      <c r="C719" s="23" t="s">
        <v>36</v>
      </c>
      <c r="D719" s="23" t="s">
        <v>461</v>
      </c>
      <c r="E719" s="24" t="s">
        <v>476</v>
      </c>
      <c r="F719" s="36"/>
      <c r="G719" s="37" t="s">
        <v>110</v>
      </c>
      <c r="H719" s="38">
        <f>H717*2.75/1000</f>
        <v>0.91498000000000002</v>
      </c>
      <c r="I719" s="25"/>
      <c r="J719" s="34"/>
      <c r="K719" s="32"/>
      <c r="L719" s="26"/>
      <c r="M719" s="67"/>
      <c r="N719" s="28"/>
      <c r="O719" s="67"/>
      <c r="P719" s="26"/>
      <c r="Q719" s="67"/>
      <c r="R719" s="28"/>
      <c r="S719" s="27"/>
      <c r="T719" s="28"/>
      <c r="U719" s="27"/>
      <c r="V719" s="28"/>
      <c r="W719" s="68"/>
      <c r="X719" s="88"/>
      <c r="Y719" s="88"/>
      <c r="Z719" s="88"/>
      <c r="AA719" s="88"/>
      <c r="AB719" s="88"/>
      <c r="AC719" s="88"/>
    </row>
    <row r="720" spans="1:29" ht="28.5" hidden="1" customHeight="1" x14ac:dyDescent="0.2">
      <c r="A720" s="13" t="s">
        <v>9</v>
      </c>
      <c r="B720" s="111"/>
      <c r="C720" s="93" t="s">
        <v>36</v>
      </c>
      <c r="D720" s="40" t="s">
        <v>461</v>
      </c>
      <c r="E720" s="41" t="s">
        <v>475</v>
      </c>
      <c r="F720" s="40"/>
      <c r="G720" s="42" t="s">
        <v>110</v>
      </c>
      <c r="H720" s="43">
        <f>H719*1.05</f>
        <v>0.96072900000000006</v>
      </c>
      <c r="I720" s="44"/>
      <c r="J720" s="45"/>
      <c r="K720" s="46"/>
      <c r="L720" s="17"/>
      <c r="M720" s="47"/>
      <c r="N720" s="18"/>
      <c r="O720" s="47"/>
      <c r="P720" s="17"/>
      <c r="Q720" s="47"/>
      <c r="R720" s="18"/>
      <c r="S720" s="48"/>
      <c r="T720" s="49"/>
      <c r="U720" s="48"/>
      <c r="V720" s="49"/>
      <c r="W720" s="29"/>
      <c r="X720" s="89" t="s">
        <v>501</v>
      </c>
      <c r="Y720" s="8"/>
      <c r="Z720" s="8"/>
      <c r="AA720" s="8"/>
      <c r="AB720" s="8"/>
      <c r="AC720" s="8"/>
    </row>
    <row r="721" spans="1:29" s="85" customFormat="1" ht="28.5" customHeight="1" x14ac:dyDescent="0.2">
      <c r="A721" s="70" t="s">
        <v>14</v>
      </c>
      <c r="B721" s="71">
        <v>41</v>
      </c>
      <c r="C721" s="72" t="s">
        <v>36</v>
      </c>
      <c r="D721" s="75" t="s">
        <v>461</v>
      </c>
      <c r="E721" s="74" t="s">
        <v>477</v>
      </c>
      <c r="F721" s="75"/>
      <c r="G721" s="73"/>
      <c r="H721" s="76"/>
      <c r="I721" s="77"/>
      <c r="J721" s="76"/>
      <c r="K721" s="78"/>
      <c r="L721" s="79"/>
      <c r="M721" s="80"/>
      <c r="N721" s="81"/>
      <c r="O721" s="82"/>
      <c r="P721" s="79"/>
      <c r="Q721" s="80"/>
      <c r="R721" s="81"/>
      <c r="S721" s="80"/>
      <c r="T721" s="83"/>
      <c r="U721" s="84"/>
      <c r="V721" s="83"/>
    </row>
    <row r="722" spans="1:29" s="69" customFormat="1" ht="28.5" customHeight="1" x14ac:dyDescent="0.2">
      <c r="A722" s="66" t="s">
        <v>8</v>
      </c>
      <c r="B722" s="33" t="s">
        <v>480</v>
      </c>
      <c r="C722" s="23" t="s">
        <v>36</v>
      </c>
      <c r="D722" s="23" t="s">
        <v>461</v>
      </c>
      <c r="E722" s="24" t="s">
        <v>464</v>
      </c>
      <c r="F722" s="36"/>
      <c r="G722" s="37" t="s">
        <v>119</v>
      </c>
      <c r="H722" s="38">
        <f>514.023</f>
        <v>514.02300000000002</v>
      </c>
      <c r="I722" s="25"/>
      <c r="J722" s="34"/>
      <c r="K722" s="32"/>
      <c r="L722" s="26"/>
      <c r="M722" s="67"/>
      <c r="N722" s="28"/>
      <c r="O722" s="67"/>
      <c r="P722" s="26"/>
      <c r="Q722" s="67"/>
      <c r="R722" s="28"/>
      <c r="S722" s="27"/>
      <c r="T722" s="28"/>
      <c r="U722" s="27"/>
      <c r="V722" s="28"/>
      <c r="W722" s="68"/>
      <c r="X722" s="88"/>
      <c r="Y722" s="88"/>
      <c r="Z722" s="88"/>
      <c r="AA722" s="88"/>
      <c r="AB722" s="88"/>
      <c r="AC722" s="88"/>
    </row>
    <row r="723" spans="1:29" ht="28.5" hidden="1" customHeight="1" x14ac:dyDescent="0.2">
      <c r="A723" s="13" t="s">
        <v>9</v>
      </c>
      <c r="B723" s="111"/>
      <c r="C723" s="93" t="s">
        <v>36</v>
      </c>
      <c r="D723" s="40" t="s">
        <v>461</v>
      </c>
      <c r="E723" s="41" t="s">
        <v>465</v>
      </c>
      <c r="F723" s="40"/>
      <c r="G723" s="42" t="s">
        <v>107</v>
      </c>
      <c r="H723" s="43">
        <f>H722*0.01*1.1</f>
        <v>5.6542530000000015</v>
      </c>
      <c r="I723" s="44"/>
      <c r="J723" s="45"/>
      <c r="K723" s="46"/>
      <c r="L723" s="17"/>
      <c r="M723" s="47"/>
      <c r="N723" s="18"/>
      <c r="O723" s="47"/>
      <c r="P723" s="17"/>
      <c r="Q723" s="47"/>
      <c r="R723" s="18"/>
      <c r="S723" s="48"/>
      <c r="T723" s="49"/>
      <c r="U723" s="48"/>
      <c r="V723" s="49"/>
      <c r="W723" s="29"/>
      <c r="X723" s="89" t="s">
        <v>498</v>
      </c>
      <c r="Y723" s="8"/>
      <c r="Z723" s="8"/>
      <c r="AA723" s="8"/>
      <c r="AB723" s="8"/>
      <c r="AC723" s="8"/>
    </row>
    <row r="724" spans="1:29" s="69" customFormat="1" ht="28.5" customHeight="1" x14ac:dyDescent="0.2">
      <c r="A724" s="66" t="s">
        <v>8</v>
      </c>
      <c r="B724" s="33" t="s">
        <v>481</v>
      </c>
      <c r="C724" s="23" t="s">
        <v>36</v>
      </c>
      <c r="D724" s="23" t="s">
        <v>461</v>
      </c>
      <c r="E724" s="24" t="s">
        <v>514</v>
      </c>
      <c r="F724" s="36"/>
      <c r="G724" s="37" t="s">
        <v>119</v>
      </c>
      <c r="H724" s="38">
        <f>H722</f>
        <v>514.02300000000002</v>
      </c>
      <c r="I724" s="25"/>
      <c r="J724" s="34"/>
      <c r="K724" s="32"/>
      <c r="L724" s="26"/>
      <c r="M724" s="67"/>
      <c r="N724" s="28"/>
      <c r="O724" s="67"/>
      <c r="P724" s="26"/>
      <c r="Q724" s="67"/>
      <c r="R724" s="28"/>
      <c r="S724" s="27"/>
      <c r="T724" s="28"/>
      <c r="U724" s="27"/>
      <c r="V724" s="28"/>
      <c r="W724" s="68"/>
      <c r="X724" s="88"/>
      <c r="Y724" s="88"/>
      <c r="Z724" s="88"/>
      <c r="AA724" s="88"/>
      <c r="AB724" s="88"/>
      <c r="AC724" s="88"/>
    </row>
    <row r="725" spans="1:29" ht="38.25" hidden="1" x14ac:dyDescent="0.2">
      <c r="A725" s="13" t="s">
        <v>9</v>
      </c>
      <c r="B725" s="111"/>
      <c r="C725" s="93" t="s">
        <v>36</v>
      </c>
      <c r="D725" s="40" t="s">
        <v>461</v>
      </c>
      <c r="E725" s="41" t="s">
        <v>466</v>
      </c>
      <c r="F725" s="40"/>
      <c r="G725" s="42" t="s">
        <v>119</v>
      </c>
      <c r="H725" s="43">
        <f>H724*1.15</f>
        <v>591.12644999999998</v>
      </c>
      <c r="I725" s="44"/>
      <c r="J725" s="45"/>
      <c r="K725" s="46"/>
      <c r="L725" s="17"/>
      <c r="M725" s="47"/>
      <c r="N725" s="18"/>
      <c r="O725" s="47"/>
      <c r="P725" s="17"/>
      <c r="Q725" s="47"/>
      <c r="R725" s="18"/>
      <c r="S725" s="48"/>
      <c r="T725" s="49"/>
      <c r="U725" s="48"/>
      <c r="V725" s="49"/>
      <c r="W725" s="29"/>
      <c r="X725" s="89" t="s">
        <v>499</v>
      </c>
      <c r="Y725" s="8"/>
      <c r="Z725" s="8"/>
      <c r="AA725" s="8"/>
      <c r="AB725" s="8"/>
      <c r="AC725" s="8"/>
    </row>
    <row r="726" spans="1:29" s="69" customFormat="1" ht="51" x14ac:dyDescent="0.2">
      <c r="A726" s="66" t="s">
        <v>8</v>
      </c>
      <c r="B726" s="33" t="s">
        <v>482</v>
      </c>
      <c r="C726" s="23" t="s">
        <v>36</v>
      </c>
      <c r="D726" s="23" t="s">
        <v>461</v>
      </c>
      <c r="E726" s="24" t="s">
        <v>467</v>
      </c>
      <c r="F726" s="36"/>
      <c r="G726" s="37" t="s">
        <v>128</v>
      </c>
      <c r="H726" s="38">
        <f>H722*0.24</f>
        <v>123.36552</v>
      </c>
      <c r="I726" s="25"/>
      <c r="J726" s="34"/>
      <c r="K726" s="32"/>
      <c r="L726" s="26"/>
      <c r="M726" s="67"/>
      <c r="N726" s="28"/>
      <c r="O726" s="67"/>
      <c r="P726" s="26"/>
      <c r="Q726" s="67"/>
      <c r="R726" s="28"/>
      <c r="S726" s="27"/>
      <c r="T726" s="28"/>
      <c r="U726" s="27"/>
      <c r="V726" s="28"/>
      <c r="W726" s="68"/>
      <c r="X726" s="88"/>
      <c r="Y726" s="88"/>
      <c r="Z726" s="88"/>
      <c r="AA726" s="88"/>
      <c r="AB726" s="88"/>
      <c r="AC726" s="88"/>
    </row>
    <row r="727" spans="1:29" ht="28.5" hidden="1" customHeight="1" x14ac:dyDescent="0.2">
      <c r="A727" s="13" t="s">
        <v>9</v>
      </c>
      <c r="B727" s="111"/>
      <c r="C727" s="93" t="s">
        <v>36</v>
      </c>
      <c r="D727" s="40" t="s">
        <v>461</v>
      </c>
      <c r="E727" s="41" t="s">
        <v>468</v>
      </c>
      <c r="F727" s="40"/>
      <c r="G727" s="42" t="s">
        <v>128</v>
      </c>
      <c r="H727" s="43">
        <f>H726*1.15</f>
        <v>141.87034800000001</v>
      </c>
      <c r="I727" s="44"/>
      <c r="J727" s="45"/>
      <c r="K727" s="46"/>
      <c r="L727" s="17"/>
      <c r="M727" s="47"/>
      <c r="N727" s="18"/>
      <c r="O727" s="47"/>
      <c r="P727" s="17"/>
      <c r="Q727" s="47"/>
      <c r="R727" s="18"/>
      <c r="S727" s="48"/>
      <c r="T727" s="49"/>
      <c r="U727" s="48"/>
      <c r="V727" s="49"/>
      <c r="W727" s="29"/>
      <c r="X727" s="89" t="s">
        <v>500</v>
      </c>
      <c r="Y727" s="8"/>
      <c r="Z727" s="8"/>
      <c r="AA727" s="8"/>
      <c r="AB727" s="8"/>
      <c r="AC727" s="8"/>
    </row>
    <row r="728" spans="1:29" s="69" customFormat="1" ht="28.5" customHeight="1" x14ac:dyDescent="0.2">
      <c r="A728" s="66" t="s">
        <v>8</v>
      </c>
      <c r="B728" s="33" t="s">
        <v>483</v>
      </c>
      <c r="C728" s="23" t="s">
        <v>36</v>
      </c>
      <c r="D728" s="23" t="s">
        <v>461</v>
      </c>
      <c r="E728" s="24" t="s">
        <v>472</v>
      </c>
      <c r="F728" s="36"/>
      <c r="G728" s="37" t="s">
        <v>119</v>
      </c>
      <c r="H728" s="38">
        <f>H724</f>
        <v>514.02300000000002</v>
      </c>
      <c r="I728" s="25"/>
      <c r="J728" s="34"/>
      <c r="K728" s="32"/>
      <c r="L728" s="26"/>
      <c r="M728" s="67"/>
      <c r="N728" s="28"/>
      <c r="O728" s="67"/>
      <c r="P728" s="26"/>
      <c r="Q728" s="67"/>
      <c r="R728" s="28"/>
      <c r="S728" s="27"/>
      <c r="T728" s="28"/>
      <c r="U728" s="27"/>
      <c r="V728" s="28"/>
      <c r="W728" s="68"/>
      <c r="X728" s="88"/>
      <c r="Y728" s="88"/>
      <c r="Z728" s="88"/>
      <c r="AA728" s="88"/>
      <c r="AB728" s="88"/>
      <c r="AC728" s="88"/>
    </row>
    <row r="729" spans="1:29" ht="28.5" hidden="1" customHeight="1" x14ac:dyDescent="0.2">
      <c r="A729" s="13" t="s">
        <v>9</v>
      </c>
      <c r="B729" s="111"/>
      <c r="C729" s="93" t="s">
        <v>36</v>
      </c>
      <c r="D729" s="40" t="s">
        <v>461</v>
      </c>
      <c r="E729" s="41" t="s">
        <v>474</v>
      </c>
      <c r="F729" s="40"/>
      <c r="G729" s="42" t="s">
        <v>119</v>
      </c>
      <c r="H729" s="43">
        <f>H728*1.15</f>
        <v>591.12644999999998</v>
      </c>
      <c r="I729" s="44"/>
      <c r="J729" s="45"/>
      <c r="K729" s="46"/>
      <c r="L729" s="17"/>
      <c r="M729" s="47"/>
      <c r="N729" s="18"/>
      <c r="O729" s="47"/>
      <c r="P729" s="17"/>
      <c r="Q729" s="47"/>
      <c r="R729" s="18"/>
      <c r="S729" s="48"/>
      <c r="T729" s="49"/>
      <c r="U729" s="48"/>
      <c r="V729" s="49"/>
      <c r="W729" s="29"/>
      <c r="X729" s="89" t="s">
        <v>499</v>
      </c>
      <c r="Y729" s="8"/>
      <c r="Z729" s="8"/>
      <c r="AA729" s="8"/>
      <c r="AB729" s="8"/>
      <c r="AC729" s="8"/>
    </row>
    <row r="730" spans="1:29" s="69" customFormat="1" ht="28.5" customHeight="1" x14ac:dyDescent="0.2">
      <c r="A730" s="66" t="s">
        <v>8</v>
      </c>
      <c r="B730" s="33" t="s">
        <v>484</v>
      </c>
      <c r="C730" s="23" t="s">
        <v>36</v>
      </c>
      <c r="D730" s="23" t="s">
        <v>461</v>
      </c>
      <c r="E730" s="24" t="s">
        <v>473</v>
      </c>
      <c r="F730" s="36"/>
      <c r="G730" s="37" t="s">
        <v>119</v>
      </c>
      <c r="H730" s="38">
        <f>H722</f>
        <v>514.02300000000002</v>
      </c>
      <c r="I730" s="25"/>
      <c r="J730" s="34"/>
      <c r="K730" s="32"/>
      <c r="L730" s="26"/>
      <c r="M730" s="67"/>
      <c r="N730" s="28"/>
      <c r="O730" s="67"/>
      <c r="P730" s="26"/>
      <c r="Q730" s="67"/>
      <c r="R730" s="28"/>
      <c r="S730" s="27"/>
      <c r="T730" s="28"/>
      <c r="U730" s="27"/>
      <c r="V730" s="28"/>
      <c r="W730" s="68"/>
      <c r="X730" s="88"/>
      <c r="Y730" s="88"/>
      <c r="Z730" s="88"/>
      <c r="AA730" s="88"/>
      <c r="AB730" s="88"/>
      <c r="AC730" s="88"/>
    </row>
    <row r="731" spans="1:29" ht="28.5" hidden="1" customHeight="1" x14ac:dyDescent="0.2">
      <c r="A731" s="13" t="s">
        <v>9</v>
      </c>
      <c r="B731" s="111"/>
      <c r="C731" s="93" t="s">
        <v>36</v>
      </c>
      <c r="D731" s="40" t="s">
        <v>461</v>
      </c>
      <c r="E731" s="41" t="s">
        <v>465</v>
      </c>
      <c r="F731" s="40"/>
      <c r="G731" s="42" t="s">
        <v>107</v>
      </c>
      <c r="H731" s="43">
        <f>H730*0.04*1.1</f>
        <v>22.617012000000006</v>
      </c>
      <c r="I731" s="44"/>
      <c r="J731" s="45"/>
      <c r="K731" s="46"/>
      <c r="L731" s="17"/>
      <c r="M731" s="47"/>
      <c r="N731" s="18"/>
      <c r="O731" s="47"/>
      <c r="P731" s="17"/>
      <c r="Q731" s="47"/>
      <c r="R731" s="18"/>
      <c r="S731" s="48"/>
      <c r="T731" s="49"/>
      <c r="U731" s="48"/>
      <c r="V731" s="49"/>
      <c r="W731" s="29"/>
      <c r="X731" s="89" t="s">
        <v>498</v>
      </c>
      <c r="Y731" s="8"/>
      <c r="Z731" s="8"/>
      <c r="AA731" s="8"/>
      <c r="AB731" s="8"/>
      <c r="AC731" s="8"/>
    </row>
    <row r="732" spans="1:29" s="69" customFormat="1" ht="28.5" customHeight="1" x14ac:dyDescent="0.2">
      <c r="A732" s="66" t="s">
        <v>8</v>
      </c>
      <c r="B732" s="33" t="s">
        <v>485</v>
      </c>
      <c r="C732" s="23" t="s">
        <v>36</v>
      </c>
      <c r="D732" s="23" t="s">
        <v>461</v>
      </c>
      <c r="E732" s="24" t="s">
        <v>476</v>
      </c>
      <c r="F732" s="36"/>
      <c r="G732" s="37" t="s">
        <v>110</v>
      </c>
      <c r="H732" s="38">
        <f>H730*2.75/1000</f>
        <v>1.4135632500000002</v>
      </c>
      <c r="I732" s="25"/>
      <c r="J732" s="34"/>
      <c r="K732" s="32"/>
      <c r="L732" s="26"/>
      <c r="M732" s="67"/>
      <c r="N732" s="28"/>
      <c r="O732" s="67"/>
      <c r="P732" s="26"/>
      <c r="Q732" s="67"/>
      <c r="R732" s="28"/>
      <c r="S732" s="27"/>
      <c r="T732" s="28"/>
      <c r="U732" s="27"/>
      <c r="V732" s="28"/>
      <c r="W732" s="68"/>
      <c r="X732" s="88"/>
      <c r="Y732" s="88"/>
      <c r="Z732" s="88"/>
      <c r="AA732" s="88"/>
      <c r="AB732" s="88"/>
      <c r="AC732" s="88"/>
    </row>
    <row r="733" spans="1:29" ht="28.5" hidden="1" customHeight="1" x14ac:dyDescent="0.2">
      <c r="A733" s="13" t="s">
        <v>9</v>
      </c>
      <c r="B733" s="111"/>
      <c r="C733" s="93" t="s">
        <v>36</v>
      </c>
      <c r="D733" s="40" t="s">
        <v>461</v>
      </c>
      <c r="E733" s="41" t="s">
        <v>475</v>
      </c>
      <c r="F733" s="40"/>
      <c r="G733" s="42" t="s">
        <v>110</v>
      </c>
      <c r="H733" s="43">
        <f>H732*1.05</f>
        <v>1.4842414125000003</v>
      </c>
      <c r="I733" s="44"/>
      <c r="J733" s="45"/>
      <c r="K733" s="46"/>
      <c r="L733" s="17"/>
      <c r="M733" s="47"/>
      <c r="N733" s="18"/>
      <c r="O733" s="47"/>
      <c r="P733" s="17"/>
      <c r="Q733" s="47"/>
      <c r="R733" s="18"/>
      <c r="S733" s="48"/>
      <c r="T733" s="49"/>
      <c r="U733" s="48"/>
      <c r="V733" s="49"/>
      <c r="W733" s="29"/>
      <c r="X733" s="89" t="s">
        <v>501</v>
      </c>
      <c r="Y733" s="8"/>
      <c r="Z733" s="8"/>
      <c r="AA733" s="8"/>
      <c r="AB733" s="8"/>
      <c r="AC733" s="8"/>
    </row>
    <row r="734" spans="1:29" s="85" customFormat="1" ht="28.5" customHeight="1" x14ac:dyDescent="0.2">
      <c r="A734" s="70" t="s">
        <v>14</v>
      </c>
      <c r="B734" s="71">
        <v>42</v>
      </c>
      <c r="C734" s="72" t="s">
        <v>36</v>
      </c>
      <c r="D734" s="75" t="s">
        <v>461</v>
      </c>
      <c r="E734" s="74" t="s">
        <v>478</v>
      </c>
      <c r="F734" s="75"/>
      <c r="G734" s="73"/>
      <c r="H734" s="76"/>
      <c r="I734" s="77"/>
      <c r="J734" s="76"/>
      <c r="K734" s="78"/>
      <c r="L734" s="79"/>
      <c r="M734" s="80"/>
      <c r="N734" s="81"/>
      <c r="O734" s="82"/>
      <c r="P734" s="79"/>
      <c r="Q734" s="80"/>
      <c r="R734" s="81"/>
      <c r="S734" s="80"/>
      <c r="T734" s="83"/>
      <c r="U734" s="84"/>
      <c r="V734" s="83"/>
    </row>
    <row r="735" spans="1:29" s="69" customFormat="1" ht="28.5" customHeight="1" x14ac:dyDescent="0.2">
      <c r="A735" s="66" t="s">
        <v>8</v>
      </c>
      <c r="B735" s="33" t="s">
        <v>486</v>
      </c>
      <c r="C735" s="23" t="s">
        <v>36</v>
      </c>
      <c r="D735" s="23" t="s">
        <v>461</v>
      </c>
      <c r="E735" s="24" t="s">
        <v>464</v>
      </c>
      <c r="F735" s="36"/>
      <c r="G735" s="37" t="s">
        <v>119</v>
      </c>
      <c r="H735" s="38">
        <f>454.67</f>
        <v>454.67</v>
      </c>
      <c r="I735" s="25"/>
      <c r="J735" s="34"/>
      <c r="K735" s="32"/>
      <c r="L735" s="26"/>
      <c r="M735" s="67"/>
      <c r="N735" s="28"/>
      <c r="O735" s="67"/>
      <c r="P735" s="26"/>
      <c r="Q735" s="67"/>
      <c r="R735" s="28"/>
      <c r="S735" s="27"/>
      <c r="T735" s="28"/>
      <c r="U735" s="27"/>
      <c r="V735" s="28"/>
      <c r="W735" s="68"/>
      <c r="X735" s="88"/>
      <c r="Y735" s="88"/>
      <c r="Z735" s="88"/>
      <c r="AA735" s="88"/>
      <c r="AB735" s="88"/>
      <c r="AC735" s="88"/>
    </row>
    <row r="736" spans="1:29" ht="28.5" hidden="1" customHeight="1" x14ac:dyDescent="0.2">
      <c r="A736" s="13" t="s">
        <v>9</v>
      </c>
      <c r="B736" s="111"/>
      <c r="C736" s="93" t="s">
        <v>36</v>
      </c>
      <c r="D736" s="40" t="s">
        <v>461</v>
      </c>
      <c r="E736" s="41" t="s">
        <v>465</v>
      </c>
      <c r="F736" s="40"/>
      <c r="G736" s="42" t="s">
        <v>107</v>
      </c>
      <c r="H736" s="43">
        <f>H735*0.01*1.1</f>
        <v>5.0013700000000005</v>
      </c>
      <c r="I736" s="44"/>
      <c r="J736" s="45"/>
      <c r="K736" s="46"/>
      <c r="L736" s="17"/>
      <c r="M736" s="47"/>
      <c r="N736" s="18"/>
      <c r="O736" s="47"/>
      <c r="P736" s="17"/>
      <c r="Q736" s="47"/>
      <c r="R736" s="18"/>
      <c r="S736" s="48"/>
      <c r="T736" s="49"/>
      <c r="U736" s="48"/>
      <c r="V736" s="49"/>
      <c r="W736" s="29"/>
      <c r="X736" s="89" t="s">
        <v>498</v>
      </c>
      <c r="Y736" s="8"/>
      <c r="Z736" s="8"/>
      <c r="AA736" s="8"/>
      <c r="AB736" s="8"/>
      <c r="AC736" s="8"/>
    </row>
    <row r="737" spans="1:29" s="69" customFormat="1" ht="28.5" customHeight="1" x14ac:dyDescent="0.2">
      <c r="A737" s="66" t="s">
        <v>8</v>
      </c>
      <c r="B737" s="33" t="s">
        <v>487</v>
      </c>
      <c r="C737" s="23" t="s">
        <v>36</v>
      </c>
      <c r="D737" s="23" t="s">
        <v>461</v>
      </c>
      <c r="E737" s="24" t="s">
        <v>514</v>
      </c>
      <c r="F737" s="36"/>
      <c r="G737" s="37" t="s">
        <v>119</v>
      </c>
      <c r="H737" s="38">
        <f>H735</f>
        <v>454.67</v>
      </c>
      <c r="I737" s="25"/>
      <c r="J737" s="34"/>
      <c r="K737" s="32"/>
      <c r="L737" s="26"/>
      <c r="M737" s="67"/>
      <c r="N737" s="28"/>
      <c r="O737" s="67"/>
      <c r="P737" s="26"/>
      <c r="Q737" s="67"/>
      <c r="R737" s="28"/>
      <c r="S737" s="27"/>
      <c r="T737" s="28"/>
      <c r="U737" s="27"/>
      <c r="V737" s="28"/>
      <c r="W737" s="68"/>
      <c r="X737" s="88"/>
      <c r="Y737" s="88"/>
      <c r="Z737" s="88"/>
      <c r="AA737" s="88"/>
      <c r="AB737" s="88"/>
      <c r="AC737" s="88"/>
    </row>
    <row r="738" spans="1:29" ht="38.25" hidden="1" x14ac:dyDescent="0.2">
      <c r="A738" s="13" t="s">
        <v>9</v>
      </c>
      <c r="B738" s="111"/>
      <c r="C738" s="93" t="s">
        <v>36</v>
      </c>
      <c r="D738" s="40" t="s">
        <v>461</v>
      </c>
      <c r="E738" s="41" t="s">
        <v>466</v>
      </c>
      <c r="F738" s="40"/>
      <c r="G738" s="42" t="s">
        <v>119</v>
      </c>
      <c r="H738" s="43">
        <f>H737*1.15</f>
        <v>522.87049999999999</v>
      </c>
      <c r="I738" s="44"/>
      <c r="J738" s="45"/>
      <c r="K738" s="46"/>
      <c r="L738" s="17"/>
      <c r="M738" s="47"/>
      <c r="N738" s="18"/>
      <c r="O738" s="47"/>
      <c r="P738" s="17"/>
      <c r="Q738" s="47"/>
      <c r="R738" s="18"/>
      <c r="S738" s="48"/>
      <c r="T738" s="49"/>
      <c r="U738" s="48"/>
      <c r="V738" s="49"/>
      <c r="W738" s="29"/>
      <c r="X738" s="89" t="s">
        <v>499</v>
      </c>
      <c r="Y738" s="8"/>
      <c r="Z738" s="8"/>
      <c r="AA738" s="8"/>
      <c r="AB738" s="8"/>
      <c r="AC738" s="8"/>
    </row>
    <row r="739" spans="1:29" s="69" customFormat="1" ht="51" x14ac:dyDescent="0.2">
      <c r="A739" s="66" t="s">
        <v>8</v>
      </c>
      <c r="B739" s="33" t="s">
        <v>488</v>
      </c>
      <c r="C739" s="23" t="s">
        <v>36</v>
      </c>
      <c r="D739" s="23" t="s">
        <v>461</v>
      </c>
      <c r="E739" s="24" t="s">
        <v>467</v>
      </c>
      <c r="F739" s="36"/>
      <c r="G739" s="37" t="s">
        <v>128</v>
      </c>
      <c r="H739" s="38">
        <f>H735*0.24</f>
        <v>109.1208</v>
      </c>
      <c r="I739" s="25"/>
      <c r="J739" s="34"/>
      <c r="K739" s="32"/>
      <c r="L739" s="26"/>
      <c r="M739" s="67"/>
      <c r="N739" s="28"/>
      <c r="O739" s="67"/>
      <c r="P739" s="26"/>
      <c r="Q739" s="67"/>
      <c r="R739" s="28"/>
      <c r="S739" s="27"/>
      <c r="T739" s="28"/>
      <c r="U739" s="27"/>
      <c r="V739" s="28"/>
      <c r="W739" s="68"/>
      <c r="X739" s="88"/>
      <c r="Y739" s="88"/>
      <c r="Z739" s="88"/>
      <c r="AA739" s="88"/>
      <c r="AB739" s="88"/>
      <c r="AC739" s="88"/>
    </row>
    <row r="740" spans="1:29" ht="28.5" hidden="1" customHeight="1" x14ac:dyDescent="0.2">
      <c r="A740" s="13" t="s">
        <v>9</v>
      </c>
      <c r="B740" s="111"/>
      <c r="C740" s="93" t="s">
        <v>36</v>
      </c>
      <c r="D740" s="40" t="s">
        <v>461</v>
      </c>
      <c r="E740" s="41" t="s">
        <v>468</v>
      </c>
      <c r="F740" s="40"/>
      <c r="G740" s="42" t="s">
        <v>128</v>
      </c>
      <c r="H740" s="43">
        <f>H739*1.15</f>
        <v>125.48891999999999</v>
      </c>
      <c r="I740" s="44"/>
      <c r="J740" s="45"/>
      <c r="K740" s="46"/>
      <c r="L740" s="17"/>
      <c r="M740" s="47"/>
      <c r="N740" s="18"/>
      <c r="O740" s="47"/>
      <c r="P740" s="17"/>
      <c r="Q740" s="47"/>
      <c r="R740" s="18"/>
      <c r="S740" s="48"/>
      <c r="T740" s="49"/>
      <c r="U740" s="48"/>
      <c r="V740" s="49"/>
      <c r="W740" s="29"/>
      <c r="X740" s="89" t="s">
        <v>500</v>
      </c>
      <c r="Y740" s="8"/>
      <c r="Z740" s="8"/>
      <c r="AA740" s="8"/>
      <c r="AB740" s="8"/>
      <c r="AC740" s="8"/>
    </row>
    <row r="741" spans="1:29" s="69" customFormat="1" ht="28.5" customHeight="1" x14ac:dyDescent="0.2">
      <c r="A741" s="66" t="s">
        <v>8</v>
      </c>
      <c r="B741" s="33" t="s">
        <v>489</v>
      </c>
      <c r="C741" s="23" t="s">
        <v>36</v>
      </c>
      <c r="D741" s="23" t="s">
        <v>461</v>
      </c>
      <c r="E741" s="24" t="s">
        <v>472</v>
      </c>
      <c r="F741" s="36"/>
      <c r="G741" s="37" t="s">
        <v>119</v>
      </c>
      <c r="H741" s="38">
        <f>H737</f>
        <v>454.67</v>
      </c>
      <c r="I741" s="25"/>
      <c r="J741" s="34"/>
      <c r="K741" s="32"/>
      <c r="L741" s="26"/>
      <c r="M741" s="67"/>
      <c r="N741" s="28"/>
      <c r="O741" s="67"/>
      <c r="P741" s="26"/>
      <c r="Q741" s="67"/>
      <c r="R741" s="28"/>
      <c r="S741" s="27"/>
      <c r="T741" s="28"/>
      <c r="U741" s="27"/>
      <c r="V741" s="28"/>
      <c r="W741" s="68"/>
      <c r="X741" s="88"/>
      <c r="Y741" s="88"/>
      <c r="Z741" s="88"/>
      <c r="AA741" s="88"/>
      <c r="AB741" s="88"/>
      <c r="AC741" s="88"/>
    </row>
    <row r="742" spans="1:29" ht="28.5" hidden="1" customHeight="1" x14ac:dyDescent="0.2">
      <c r="A742" s="13" t="s">
        <v>9</v>
      </c>
      <c r="B742" s="111"/>
      <c r="C742" s="93" t="s">
        <v>36</v>
      </c>
      <c r="D742" s="40" t="s">
        <v>461</v>
      </c>
      <c r="E742" s="41" t="s">
        <v>474</v>
      </c>
      <c r="F742" s="40"/>
      <c r="G742" s="42" t="s">
        <v>119</v>
      </c>
      <c r="H742" s="43">
        <f>H741*1.15</f>
        <v>522.87049999999999</v>
      </c>
      <c r="I742" s="44"/>
      <c r="J742" s="45"/>
      <c r="K742" s="46"/>
      <c r="L742" s="17"/>
      <c r="M742" s="47"/>
      <c r="N742" s="18"/>
      <c r="O742" s="47"/>
      <c r="P742" s="17"/>
      <c r="Q742" s="47"/>
      <c r="R742" s="18"/>
      <c r="S742" s="48"/>
      <c r="T742" s="49"/>
      <c r="U742" s="48"/>
      <c r="V742" s="49"/>
      <c r="W742" s="29"/>
      <c r="X742" s="89" t="s">
        <v>499</v>
      </c>
      <c r="Y742" s="8"/>
      <c r="Z742" s="8"/>
      <c r="AA742" s="8"/>
      <c r="AB742" s="8"/>
      <c r="AC742" s="8"/>
    </row>
    <row r="743" spans="1:29" s="69" customFormat="1" ht="28.5" customHeight="1" x14ac:dyDescent="0.2">
      <c r="A743" s="66" t="s">
        <v>8</v>
      </c>
      <c r="B743" s="33" t="s">
        <v>490</v>
      </c>
      <c r="C743" s="23" t="s">
        <v>36</v>
      </c>
      <c r="D743" s="23" t="s">
        <v>461</v>
      </c>
      <c r="E743" s="24" t="s">
        <v>473</v>
      </c>
      <c r="F743" s="36"/>
      <c r="G743" s="37" t="s">
        <v>119</v>
      </c>
      <c r="H743" s="38">
        <f>H735</f>
        <v>454.67</v>
      </c>
      <c r="I743" s="25"/>
      <c r="J743" s="34"/>
      <c r="K743" s="32"/>
      <c r="L743" s="26"/>
      <c r="M743" s="67"/>
      <c r="N743" s="28"/>
      <c r="O743" s="67"/>
      <c r="P743" s="26"/>
      <c r="Q743" s="67"/>
      <c r="R743" s="28"/>
      <c r="S743" s="27"/>
      <c r="T743" s="28"/>
      <c r="U743" s="27"/>
      <c r="V743" s="28"/>
      <c r="W743" s="68"/>
      <c r="X743" s="88"/>
      <c r="Y743" s="88"/>
      <c r="Z743" s="88"/>
      <c r="AA743" s="88"/>
      <c r="AB743" s="88"/>
      <c r="AC743" s="88"/>
    </row>
    <row r="744" spans="1:29" ht="28.5" hidden="1" customHeight="1" x14ac:dyDescent="0.2">
      <c r="A744" s="13" t="s">
        <v>9</v>
      </c>
      <c r="B744" s="111"/>
      <c r="C744" s="93" t="s">
        <v>36</v>
      </c>
      <c r="D744" s="40" t="s">
        <v>461</v>
      </c>
      <c r="E744" s="41" t="s">
        <v>465</v>
      </c>
      <c r="F744" s="40"/>
      <c r="G744" s="42" t="s">
        <v>107</v>
      </c>
      <c r="H744" s="43">
        <f>H743*0.04*1.1</f>
        <v>20.005480000000002</v>
      </c>
      <c r="I744" s="44"/>
      <c r="J744" s="45"/>
      <c r="K744" s="46"/>
      <c r="L744" s="17"/>
      <c r="M744" s="47"/>
      <c r="N744" s="18"/>
      <c r="O744" s="47"/>
      <c r="P744" s="17"/>
      <c r="Q744" s="47"/>
      <c r="R744" s="18"/>
      <c r="S744" s="48"/>
      <c r="T744" s="49"/>
      <c r="U744" s="48"/>
      <c r="V744" s="49"/>
      <c r="W744" s="29"/>
      <c r="X744" s="89" t="s">
        <v>498</v>
      </c>
      <c r="Y744" s="8"/>
      <c r="Z744" s="8"/>
      <c r="AA744" s="8"/>
      <c r="AB744" s="8"/>
      <c r="AC744" s="8"/>
    </row>
    <row r="745" spans="1:29" s="69" customFormat="1" ht="28.5" customHeight="1" x14ac:dyDescent="0.2">
      <c r="A745" s="66" t="s">
        <v>8</v>
      </c>
      <c r="B745" s="33" t="s">
        <v>491</v>
      </c>
      <c r="C745" s="23" t="s">
        <v>36</v>
      </c>
      <c r="D745" s="23" t="s">
        <v>461</v>
      </c>
      <c r="E745" s="24" t="s">
        <v>476</v>
      </c>
      <c r="F745" s="36"/>
      <c r="G745" s="37" t="s">
        <v>110</v>
      </c>
      <c r="H745" s="38">
        <f>H743*2.75/1000</f>
        <v>1.2503424999999999</v>
      </c>
      <c r="I745" s="25"/>
      <c r="J745" s="34"/>
      <c r="K745" s="32"/>
      <c r="L745" s="26"/>
      <c r="M745" s="67"/>
      <c r="N745" s="28"/>
      <c r="O745" s="67"/>
      <c r="P745" s="26"/>
      <c r="Q745" s="67"/>
      <c r="R745" s="28"/>
      <c r="S745" s="27"/>
      <c r="T745" s="28"/>
      <c r="U745" s="27"/>
      <c r="V745" s="28"/>
      <c r="W745" s="68"/>
      <c r="X745" s="88"/>
      <c r="Y745" s="88"/>
      <c r="Z745" s="88"/>
      <c r="AA745" s="88"/>
      <c r="AB745" s="88"/>
      <c r="AC745" s="88"/>
    </row>
    <row r="746" spans="1:29" ht="28.5" hidden="1" customHeight="1" x14ac:dyDescent="0.2">
      <c r="A746" s="13" t="s">
        <v>9</v>
      </c>
      <c r="B746" s="111"/>
      <c r="C746" s="93" t="s">
        <v>36</v>
      </c>
      <c r="D746" s="40" t="s">
        <v>461</v>
      </c>
      <c r="E746" s="41" t="s">
        <v>475</v>
      </c>
      <c r="F746" s="40"/>
      <c r="G746" s="42" t="s">
        <v>110</v>
      </c>
      <c r="H746" s="43">
        <f>H745*1.05</f>
        <v>1.312859625</v>
      </c>
      <c r="I746" s="44"/>
      <c r="J746" s="45"/>
      <c r="K746" s="46"/>
      <c r="L746" s="17"/>
      <c r="M746" s="47"/>
      <c r="N746" s="18"/>
      <c r="O746" s="47"/>
      <c r="P746" s="17"/>
      <c r="Q746" s="47"/>
      <c r="R746" s="18"/>
      <c r="S746" s="48"/>
      <c r="T746" s="49"/>
      <c r="U746" s="48"/>
      <c r="V746" s="49"/>
      <c r="W746" s="29"/>
      <c r="X746" s="89" t="s">
        <v>501</v>
      </c>
      <c r="Y746" s="8"/>
      <c r="Z746" s="8"/>
      <c r="AA746" s="8"/>
      <c r="AB746" s="8"/>
      <c r="AC746" s="8"/>
    </row>
    <row r="747" spans="1:29" s="85" customFormat="1" ht="28.5" customHeight="1" x14ac:dyDescent="0.2">
      <c r="A747" s="70" t="s">
        <v>14</v>
      </c>
      <c r="B747" s="71">
        <v>43</v>
      </c>
      <c r="C747" s="72" t="s">
        <v>36</v>
      </c>
      <c r="D747" s="75" t="s">
        <v>461</v>
      </c>
      <c r="E747" s="74" t="s">
        <v>479</v>
      </c>
      <c r="F747" s="75"/>
      <c r="G747" s="73"/>
      <c r="H747" s="76"/>
      <c r="I747" s="77"/>
      <c r="J747" s="76"/>
      <c r="K747" s="78"/>
      <c r="L747" s="79"/>
      <c r="M747" s="80"/>
      <c r="N747" s="81"/>
      <c r="O747" s="82"/>
      <c r="P747" s="79"/>
      <c r="Q747" s="80"/>
      <c r="R747" s="81"/>
      <c r="S747" s="80"/>
      <c r="T747" s="83"/>
      <c r="U747" s="84"/>
      <c r="V747" s="83"/>
    </row>
    <row r="748" spans="1:29" s="69" customFormat="1" ht="28.5" customHeight="1" x14ac:dyDescent="0.2">
      <c r="A748" s="66" t="s">
        <v>8</v>
      </c>
      <c r="B748" s="33" t="s">
        <v>492</v>
      </c>
      <c r="C748" s="23" t="s">
        <v>36</v>
      </c>
      <c r="D748" s="23" t="s">
        <v>461</v>
      </c>
      <c r="E748" s="24" t="s">
        <v>464</v>
      </c>
      <c r="F748" s="36"/>
      <c r="G748" s="37" t="s">
        <v>119</v>
      </c>
      <c r="H748" s="38">
        <f>462.67</f>
        <v>462.67</v>
      </c>
      <c r="I748" s="25"/>
      <c r="J748" s="34"/>
      <c r="K748" s="32"/>
      <c r="L748" s="26"/>
      <c r="M748" s="67"/>
      <c r="N748" s="28"/>
      <c r="O748" s="67"/>
      <c r="P748" s="26"/>
      <c r="Q748" s="67"/>
      <c r="R748" s="28"/>
      <c r="S748" s="27"/>
      <c r="T748" s="28"/>
      <c r="U748" s="27"/>
      <c r="V748" s="28"/>
      <c r="W748" s="68"/>
      <c r="X748" s="88"/>
      <c r="Y748" s="88"/>
      <c r="Z748" s="88"/>
      <c r="AA748" s="88"/>
      <c r="AB748" s="88"/>
      <c r="AC748" s="88"/>
    </row>
    <row r="749" spans="1:29" ht="28.5" hidden="1" customHeight="1" x14ac:dyDescent="0.2">
      <c r="A749" s="13" t="s">
        <v>9</v>
      </c>
      <c r="B749" s="111"/>
      <c r="C749" s="93" t="s">
        <v>36</v>
      </c>
      <c r="D749" s="40" t="s">
        <v>461</v>
      </c>
      <c r="E749" s="41" t="s">
        <v>465</v>
      </c>
      <c r="F749" s="40"/>
      <c r="G749" s="42" t="s">
        <v>107</v>
      </c>
      <c r="H749" s="43">
        <f>H748*0.01*1.1</f>
        <v>5.0893700000000006</v>
      </c>
      <c r="I749" s="44"/>
      <c r="J749" s="45"/>
      <c r="K749" s="46"/>
      <c r="L749" s="17"/>
      <c r="M749" s="47"/>
      <c r="N749" s="18"/>
      <c r="O749" s="47"/>
      <c r="P749" s="17"/>
      <c r="Q749" s="47"/>
      <c r="R749" s="18"/>
      <c r="S749" s="48"/>
      <c r="T749" s="49"/>
      <c r="U749" s="48"/>
      <c r="V749" s="49"/>
      <c r="W749" s="29"/>
      <c r="X749" s="89" t="s">
        <v>498</v>
      </c>
      <c r="Y749" s="8"/>
      <c r="Z749" s="8"/>
      <c r="AA749" s="8"/>
      <c r="AB749" s="8"/>
      <c r="AC749" s="8"/>
    </row>
    <row r="750" spans="1:29" s="69" customFormat="1" ht="28.5" customHeight="1" x14ac:dyDescent="0.2">
      <c r="A750" s="66" t="s">
        <v>8</v>
      </c>
      <c r="B750" s="33" t="s">
        <v>493</v>
      </c>
      <c r="C750" s="23" t="s">
        <v>36</v>
      </c>
      <c r="D750" s="23" t="s">
        <v>461</v>
      </c>
      <c r="E750" s="24" t="s">
        <v>514</v>
      </c>
      <c r="F750" s="36"/>
      <c r="G750" s="37" t="s">
        <v>119</v>
      </c>
      <c r="H750" s="38">
        <f>H748</f>
        <v>462.67</v>
      </c>
      <c r="I750" s="25"/>
      <c r="J750" s="34"/>
      <c r="K750" s="32"/>
      <c r="L750" s="26"/>
      <c r="M750" s="67"/>
      <c r="N750" s="28"/>
      <c r="O750" s="67"/>
      <c r="P750" s="26"/>
      <c r="Q750" s="67"/>
      <c r="R750" s="28"/>
      <c r="S750" s="27"/>
      <c r="T750" s="28"/>
      <c r="U750" s="27"/>
      <c r="V750" s="28"/>
      <c r="W750" s="68"/>
      <c r="X750" s="88"/>
      <c r="Y750" s="88"/>
      <c r="Z750" s="88"/>
      <c r="AA750" s="88"/>
      <c r="AB750" s="88"/>
      <c r="AC750" s="88"/>
    </row>
    <row r="751" spans="1:29" ht="38.25" hidden="1" x14ac:dyDescent="0.2">
      <c r="A751" s="13" t="s">
        <v>9</v>
      </c>
      <c r="B751" s="111"/>
      <c r="C751" s="93" t="s">
        <v>36</v>
      </c>
      <c r="D751" s="40" t="s">
        <v>461</v>
      </c>
      <c r="E751" s="41" t="s">
        <v>466</v>
      </c>
      <c r="F751" s="40"/>
      <c r="G751" s="42" t="s">
        <v>119</v>
      </c>
      <c r="H751" s="43">
        <f>H750*1.15</f>
        <v>532.07049999999992</v>
      </c>
      <c r="I751" s="44"/>
      <c r="J751" s="45"/>
      <c r="K751" s="46"/>
      <c r="L751" s="17"/>
      <c r="M751" s="47"/>
      <c r="N751" s="18"/>
      <c r="O751" s="47"/>
      <c r="P751" s="17"/>
      <c r="Q751" s="47"/>
      <c r="R751" s="18"/>
      <c r="S751" s="48"/>
      <c r="T751" s="49"/>
      <c r="U751" s="48"/>
      <c r="V751" s="49"/>
      <c r="W751" s="29"/>
      <c r="X751" s="89" t="s">
        <v>499</v>
      </c>
      <c r="Y751" s="8"/>
      <c r="Z751" s="8"/>
      <c r="AA751" s="8"/>
      <c r="AB751" s="8"/>
      <c r="AC751" s="8"/>
    </row>
    <row r="752" spans="1:29" s="69" customFormat="1" ht="51" x14ac:dyDescent="0.2">
      <c r="A752" s="66" t="s">
        <v>8</v>
      </c>
      <c r="B752" s="33" t="s">
        <v>494</v>
      </c>
      <c r="C752" s="23" t="s">
        <v>36</v>
      </c>
      <c r="D752" s="23" t="s">
        <v>461</v>
      </c>
      <c r="E752" s="24" t="s">
        <v>467</v>
      </c>
      <c r="F752" s="36"/>
      <c r="G752" s="37" t="s">
        <v>128</v>
      </c>
      <c r="H752" s="38">
        <f>H748*0.24</f>
        <v>111.0408</v>
      </c>
      <c r="I752" s="25"/>
      <c r="J752" s="34"/>
      <c r="K752" s="32"/>
      <c r="L752" s="26"/>
      <c r="M752" s="67"/>
      <c r="N752" s="28"/>
      <c r="O752" s="67"/>
      <c r="P752" s="26"/>
      <c r="Q752" s="67"/>
      <c r="R752" s="28"/>
      <c r="S752" s="27"/>
      <c r="T752" s="28"/>
      <c r="U752" s="27"/>
      <c r="V752" s="28"/>
      <c r="W752" s="68"/>
      <c r="X752" s="88"/>
      <c r="Y752" s="88"/>
      <c r="Z752" s="88"/>
      <c r="AA752" s="88"/>
      <c r="AB752" s="88"/>
      <c r="AC752" s="88"/>
    </row>
    <row r="753" spans="1:29" ht="28.5" hidden="1" customHeight="1" x14ac:dyDescent="0.2">
      <c r="A753" s="13" t="s">
        <v>9</v>
      </c>
      <c r="B753" s="111"/>
      <c r="C753" s="93" t="s">
        <v>36</v>
      </c>
      <c r="D753" s="40" t="s">
        <v>461</v>
      </c>
      <c r="E753" s="41" t="s">
        <v>468</v>
      </c>
      <c r="F753" s="40"/>
      <c r="G753" s="42" t="s">
        <v>128</v>
      </c>
      <c r="H753" s="43">
        <f>H752*1.15</f>
        <v>127.69691999999999</v>
      </c>
      <c r="I753" s="44"/>
      <c r="J753" s="45"/>
      <c r="K753" s="46"/>
      <c r="L753" s="17"/>
      <c r="M753" s="47"/>
      <c r="N753" s="18"/>
      <c r="O753" s="47"/>
      <c r="P753" s="17"/>
      <c r="Q753" s="47"/>
      <c r="R753" s="18"/>
      <c r="S753" s="48"/>
      <c r="T753" s="49"/>
      <c r="U753" s="48"/>
      <c r="V753" s="49"/>
      <c r="W753" s="29"/>
      <c r="X753" s="89" t="s">
        <v>500</v>
      </c>
      <c r="Y753" s="8"/>
      <c r="Z753" s="8"/>
      <c r="AA753" s="8"/>
      <c r="AB753" s="8"/>
      <c r="AC753" s="8"/>
    </row>
    <row r="754" spans="1:29" s="69" customFormat="1" ht="28.5" customHeight="1" x14ac:dyDescent="0.2">
      <c r="A754" s="66" t="s">
        <v>8</v>
      </c>
      <c r="B754" s="33" t="s">
        <v>495</v>
      </c>
      <c r="C754" s="23" t="s">
        <v>36</v>
      </c>
      <c r="D754" s="23" t="s">
        <v>461</v>
      </c>
      <c r="E754" s="24" t="s">
        <v>472</v>
      </c>
      <c r="F754" s="36"/>
      <c r="G754" s="37" t="s">
        <v>119</v>
      </c>
      <c r="H754" s="38">
        <f>H750</f>
        <v>462.67</v>
      </c>
      <c r="I754" s="25"/>
      <c r="J754" s="34"/>
      <c r="K754" s="32"/>
      <c r="L754" s="26"/>
      <c r="M754" s="67"/>
      <c r="N754" s="28"/>
      <c r="O754" s="67"/>
      <c r="P754" s="26"/>
      <c r="Q754" s="67"/>
      <c r="R754" s="28"/>
      <c r="S754" s="27"/>
      <c r="T754" s="28"/>
      <c r="U754" s="27"/>
      <c r="V754" s="28"/>
      <c r="W754" s="68"/>
      <c r="X754" s="88"/>
      <c r="Y754" s="88"/>
      <c r="Z754" s="88"/>
      <c r="AA754" s="88"/>
      <c r="AB754" s="88"/>
      <c r="AC754" s="88"/>
    </row>
    <row r="755" spans="1:29" ht="28.5" hidden="1" customHeight="1" x14ac:dyDescent="0.2">
      <c r="A755" s="13" t="s">
        <v>9</v>
      </c>
      <c r="B755" s="111"/>
      <c r="C755" s="93" t="s">
        <v>36</v>
      </c>
      <c r="D755" s="40" t="s">
        <v>461</v>
      </c>
      <c r="E755" s="41" t="s">
        <v>474</v>
      </c>
      <c r="F755" s="40"/>
      <c r="G755" s="42" t="s">
        <v>119</v>
      </c>
      <c r="H755" s="43">
        <f>H754*1.15</f>
        <v>532.07049999999992</v>
      </c>
      <c r="I755" s="44"/>
      <c r="J755" s="45"/>
      <c r="K755" s="46"/>
      <c r="L755" s="17"/>
      <c r="M755" s="47"/>
      <c r="N755" s="18"/>
      <c r="O755" s="47"/>
      <c r="P755" s="17"/>
      <c r="Q755" s="47"/>
      <c r="R755" s="18"/>
      <c r="S755" s="48"/>
      <c r="T755" s="49"/>
      <c r="U755" s="48"/>
      <c r="V755" s="49"/>
      <c r="W755" s="29"/>
      <c r="X755" s="89" t="s">
        <v>499</v>
      </c>
      <c r="Y755" s="8"/>
      <c r="Z755" s="8"/>
      <c r="AA755" s="8"/>
      <c r="AB755" s="8"/>
      <c r="AC755" s="8"/>
    </row>
    <row r="756" spans="1:29" s="69" customFormat="1" ht="28.5" customHeight="1" x14ac:dyDescent="0.2">
      <c r="A756" s="66" t="s">
        <v>8</v>
      </c>
      <c r="B756" s="33" t="s">
        <v>496</v>
      </c>
      <c r="C756" s="23" t="s">
        <v>36</v>
      </c>
      <c r="D756" s="23" t="s">
        <v>461</v>
      </c>
      <c r="E756" s="24" t="s">
        <v>473</v>
      </c>
      <c r="F756" s="36"/>
      <c r="G756" s="37" t="s">
        <v>119</v>
      </c>
      <c r="H756" s="38">
        <f>H748</f>
        <v>462.67</v>
      </c>
      <c r="I756" s="25"/>
      <c r="J756" s="34"/>
      <c r="K756" s="32"/>
      <c r="L756" s="26"/>
      <c r="M756" s="67"/>
      <c r="N756" s="28"/>
      <c r="O756" s="67"/>
      <c r="P756" s="26"/>
      <c r="Q756" s="67"/>
      <c r="R756" s="28"/>
      <c r="S756" s="27"/>
      <c r="T756" s="28"/>
      <c r="U756" s="27"/>
      <c r="V756" s="28"/>
      <c r="W756" s="68"/>
      <c r="X756" s="88"/>
      <c r="Y756" s="88"/>
      <c r="Z756" s="88"/>
      <c r="AA756" s="88"/>
      <c r="AB756" s="88"/>
      <c r="AC756" s="88"/>
    </row>
    <row r="757" spans="1:29" ht="28.5" hidden="1" customHeight="1" x14ac:dyDescent="0.2">
      <c r="A757" s="13" t="s">
        <v>9</v>
      </c>
      <c r="B757" s="111"/>
      <c r="C757" s="93" t="s">
        <v>36</v>
      </c>
      <c r="D757" s="40" t="s">
        <v>461</v>
      </c>
      <c r="E757" s="41" t="s">
        <v>465</v>
      </c>
      <c r="F757" s="40"/>
      <c r="G757" s="42" t="s">
        <v>107</v>
      </c>
      <c r="H757" s="43">
        <f>H756*0.04*1.1</f>
        <v>20.357480000000002</v>
      </c>
      <c r="I757" s="44"/>
      <c r="J757" s="45"/>
      <c r="K757" s="46"/>
      <c r="L757" s="17"/>
      <c r="M757" s="47"/>
      <c r="N757" s="18"/>
      <c r="O757" s="47"/>
      <c r="P757" s="17"/>
      <c r="Q757" s="47"/>
      <c r="R757" s="18"/>
      <c r="S757" s="48"/>
      <c r="T757" s="49"/>
      <c r="U757" s="48"/>
      <c r="V757" s="49"/>
      <c r="W757" s="29"/>
      <c r="X757" s="89" t="s">
        <v>498</v>
      </c>
      <c r="Y757" s="8"/>
      <c r="Z757" s="8"/>
      <c r="AA757" s="8"/>
      <c r="AB757" s="8"/>
      <c r="AC757" s="8"/>
    </row>
    <row r="758" spans="1:29" s="69" customFormat="1" ht="28.5" customHeight="1" x14ac:dyDescent="0.2">
      <c r="A758" s="66" t="s">
        <v>8</v>
      </c>
      <c r="B758" s="33" t="s">
        <v>497</v>
      </c>
      <c r="C758" s="23" t="s">
        <v>36</v>
      </c>
      <c r="D758" s="23" t="s">
        <v>461</v>
      </c>
      <c r="E758" s="24" t="s">
        <v>476</v>
      </c>
      <c r="F758" s="36"/>
      <c r="G758" s="37" t="s">
        <v>110</v>
      </c>
      <c r="H758" s="38">
        <f>H756*2.75/1000</f>
        <v>1.2723424999999999</v>
      </c>
      <c r="I758" s="25"/>
      <c r="J758" s="34"/>
      <c r="K758" s="32"/>
      <c r="L758" s="26"/>
      <c r="M758" s="67"/>
      <c r="N758" s="28"/>
      <c r="O758" s="67"/>
      <c r="P758" s="26"/>
      <c r="Q758" s="67"/>
      <c r="R758" s="28"/>
      <c r="S758" s="27"/>
      <c r="T758" s="28"/>
      <c r="U758" s="27"/>
      <c r="V758" s="28"/>
      <c r="W758" s="68"/>
      <c r="X758" s="88"/>
      <c r="Y758" s="88"/>
      <c r="Z758" s="88"/>
      <c r="AA758" s="88"/>
      <c r="AB758" s="88"/>
      <c r="AC758" s="88"/>
    </row>
    <row r="759" spans="1:29" ht="28.5" hidden="1" customHeight="1" x14ac:dyDescent="0.2">
      <c r="A759" s="13" t="s">
        <v>9</v>
      </c>
      <c r="B759" s="111"/>
      <c r="C759" s="93" t="s">
        <v>36</v>
      </c>
      <c r="D759" s="40" t="s">
        <v>461</v>
      </c>
      <c r="E759" s="41" t="s">
        <v>475</v>
      </c>
      <c r="F759" s="40"/>
      <c r="G759" s="42" t="s">
        <v>110</v>
      </c>
      <c r="H759" s="43">
        <f>H758*1.05</f>
        <v>1.3359596250000001</v>
      </c>
      <c r="I759" s="44"/>
      <c r="J759" s="45"/>
      <c r="K759" s="46"/>
      <c r="L759" s="17"/>
      <c r="M759" s="47"/>
      <c r="N759" s="18"/>
      <c r="O759" s="47"/>
      <c r="P759" s="17"/>
      <c r="Q759" s="47"/>
      <c r="R759" s="18"/>
      <c r="S759" s="48"/>
      <c r="T759" s="49"/>
      <c r="U759" s="48"/>
      <c r="V759" s="49"/>
      <c r="W759" s="29"/>
      <c r="X759" s="89" t="s">
        <v>501</v>
      </c>
      <c r="Y759" s="8"/>
      <c r="Z759" s="8"/>
      <c r="AA759" s="8"/>
      <c r="AB759" s="8"/>
      <c r="AC759" s="8"/>
    </row>
  </sheetData>
  <autoFilter ref="A5:V759" xr:uid="{00000000-0009-0000-0000-000000000000}">
    <filterColumn colId="0">
      <filters>
        <filter val="З1"/>
        <filter val="СМР"/>
      </filters>
    </filterColumn>
  </autoFilter>
  <mergeCells count="83">
    <mergeCell ref="B1:J1"/>
    <mergeCell ref="B2:B4"/>
    <mergeCell ref="C2:C4"/>
    <mergeCell ref="D2:D4"/>
    <mergeCell ref="E2:E4"/>
    <mergeCell ref="F2:F4"/>
    <mergeCell ref="G2:G4"/>
    <mergeCell ref="H2:J2"/>
    <mergeCell ref="H3:H4"/>
    <mergeCell ref="I3:I4"/>
    <mergeCell ref="U2:V2"/>
    <mergeCell ref="K2:L2"/>
    <mergeCell ref="M2:N2"/>
    <mergeCell ref="O2:P2"/>
    <mergeCell ref="Q2:R2"/>
    <mergeCell ref="S2:T2"/>
    <mergeCell ref="J3:J4"/>
    <mergeCell ref="K3:L3"/>
    <mergeCell ref="M3:N3"/>
    <mergeCell ref="O3:P3"/>
    <mergeCell ref="Q3:R3"/>
    <mergeCell ref="S3:S4"/>
    <mergeCell ref="X300:Z300"/>
    <mergeCell ref="X304:Z304"/>
    <mergeCell ref="T3:T4"/>
    <mergeCell ref="U3:U4"/>
    <mergeCell ref="V3:V4"/>
    <mergeCell ref="X262:Z262"/>
    <mergeCell ref="X272:Z272"/>
    <mergeCell ref="X276:Z276"/>
    <mergeCell ref="X286:Z286"/>
    <mergeCell ref="X290:Z290"/>
    <mergeCell ref="X89:Z89"/>
    <mergeCell ref="X134:Z134"/>
    <mergeCell ref="X177:Z177"/>
    <mergeCell ref="X216:Z216"/>
    <mergeCell ref="X258:Z258"/>
    <mergeCell ref="X311:AC311"/>
    <mergeCell ref="X314:AC314"/>
    <mergeCell ref="X329:AC329"/>
    <mergeCell ref="X332:AC332"/>
    <mergeCell ref="X316:AC316"/>
    <mergeCell ref="X318:AC318"/>
    <mergeCell ref="X320:AC320"/>
    <mergeCell ref="X322:AC322"/>
    <mergeCell ref="X364:AC364"/>
    <mergeCell ref="X367:AC367"/>
    <mergeCell ref="X396:AC396"/>
    <mergeCell ref="X355:AC355"/>
    <mergeCell ref="X357:AC357"/>
    <mergeCell ref="X359:AC359"/>
    <mergeCell ref="X369:AC369"/>
    <mergeCell ref="X371:AC371"/>
    <mergeCell ref="X373:AC373"/>
    <mergeCell ref="X375:AC375"/>
    <mergeCell ref="X394:Z394"/>
    <mergeCell ref="X686:AC686"/>
    <mergeCell ref="X425:AC425"/>
    <mergeCell ref="X454:AC454"/>
    <mergeCell ref="X483:AC483"/>
    <mergeCell ref="X512:AC512"/>
    <mergeCell ref="X541:AC541"/>
    <mergeCell ref="X334:AC334"/>
    <mergeCell ref="X336:AC336"/>
    <mergeCell ref="X338:AC338"/>
    <mergeCell ref="X340:AC340"/>
    <mergeCell ref="X353:AC353"/>
    <mergeCell ref="X348:AC348"/>
    <mergeCell ref="X351:AC351"/>
    <mergeCell ref="X423:Z423"/>
    <mergeCell ref="X452:Z452"/>
    <mergeCell ref="X481:Z481"/>
    <mergeCell ref="X510:Z510"/>
    <mergeCell ref="X539:Z539"/>
    <mergeCell ref="X568:Z568"/>
    <mergeCell ref="X597:Z597"/>
    <mergeCell ref="X626:Z626"/>
    <mergeCell ref="X655:Z655"/>
    <mergeCell ref="X684:Z684"/>
    <mergeCell ref="X570:AC570"/>
    <mergeCell ref="X599:AC599"/>
    <mergeCell ref="X628:AC628"/>
    <mergeCell ref="X657:AC657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60" fitToHeight="500" orientation="portrait" r:id="rId1"/>
  <headerFooter>
    <oddFooter>&amp;R&amp;P</oddFooter>
  </headerFooter>
  <ignoredErrors>
    <ignoredError sqref="H318 H320 H336 H338 H355 H357 H371 H373 H384:H395 H397 H413:H424 H426 H442:H453 H455 H471:H482 H484 H500:H511 H513 H529:H540 H542 H558:H569 H571 H587:H598 H600 H616:H627 H629 H645:H656 H658 H689:H690 H674:H685 H687 H660:H670 H631:H641 H602:H612 H573:H583 H544:H554 H515:H525 H486:H496 H457:H467 H428:H438 H399:H409 H411 H440 H469 H498 H527 H556 H585 H614 H643 H672 H713:H714 H747:H752 H734:H740 H721:H727 H715:H716 H728:H729 H741:H742 H753:H754" formula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D70FBD33-3B22-404F-BACD-C546A4244239}">
          <x14:formula1>
            <xm:f>'для работ'!$A$3:$A$51</xm:f>
          </x14:formula1>
          <xm:sqref>C672:C673 C22:C23 C85:C86 C255:C257 C132 C90:C125 C217:C244 C9:C11 C47:C49 C26:C28 C30:C32 C20 C43:C44 C51:C53 C41 C64:C65 C68:C70 C72:C74 C62 C692 C127:C128 C130 C263:C266 C170:C171 C173 C269:C271 C277:C280 C283:C285 C291:C294 C297:C299 C305:C308 C175 C209:C210 C212 C214 C246:C247 C249 C251 C135:C168 C178:C207 C356 C323:C327 C339 C759 C317 C319 C321 C315 C370 C335 C337 C333 C358 C360:C362 C354 C352 C372 C374 C376:C382 C341:C346 C643:C644 C83 C411:C412 C440:C441 C469:C470 C498:C499 C527:C528 C556:C557 C585:C586 C614:C615 C705:C706 C13:C18 C34:C39 C55:C60 C76:C81 C386:C390 C415:C419 C444:C448 C473:C477 C502:C506 C531:C535 C560:C564 C589:C593 C618:C622 C647:C651 C676:C680 C402 C431 C460 C489 C518 C547 C576 C605 C634 C663 C400 C429 C458 C487 C516 C545 C574 C603 C632 C661 C690 C682:C683 C653:C654 C624:C625 C595:C596 C566:C567 C537:C538 C508:C509 C479:C480 C450:C451 C421:C422 C392:C393 C395 C424 C453 C482 C511 C540 C569 C598 C627 C656 C685 C695:C699 C666:C670 C637:C641 C608:C612 C579:C583 C550:C554 C521:C525 C492:C496 C463:C467 C434:C438 C405:C409 C701:C702 C710 C712 C716 C714 C718 C720 C723 C725 C729 C727 C731 C733 C736 C738 C742 C740 C744 C746 C749 C751 C755 C753 C757 C312:C313 C330:C331 C349:C350 C365:C366 C368 C259:C261 C273:C275 C287:C289 C301:C303 C397:C398 C426:C427 C455:C456 C484:C485 C513:C514 C542:C543 C571:C572 C600:C601 C629:C630 C658:C659 C687:C688</xm:sqref>
        </x14:dataValidation>
        <x14:dataValidation type="list" allowBlank="1" showInputMessage="1" showErrorMessage="1" errorTitle="Неверные данные" error="Введите данные из списка" xr:uid="{61EE17D5-D422-4540-81EB-729C1D6DB03A}">
          <x14:formula1>
            <xm:f>'для работ'!$A$6:$A$51</xm:f>
          </x14:formula1>
          <xm:sqref>C8:C23 C46:C65 C67:C86 C25:C44 C311:C327 C329:C346 C748:C759 C348:C362 C704:C706 C404:C412 C433:C441 C462:C470 C491:C499 C520:C528 C549:C557 C578:C586 C607:C615 C636:C644 C665:C673 C694:C702 C709:C720 C722:C733 C735:C746 C364:C382 C89:C132 C134:C175 C177:C214 C216:C251 C254:C266 C268:C280 C282:C294 C296:C308 C385:C402 C414:C431 C443:C460 C472:C489 C501:C518 C530:C547 C559:C576 C588:C605 C617:C634 C646:C663 C675:C692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D6E18-5FA2-43E0-B841-A50D7C8F270D}">
  <sheetPr>
    <tabColor rgb="FFFFFF00"/>
    <outlinePr summaryBelow="0"/>
    <pageSetUpPr fitToPage="1"/>
  </sheetPr>
  <dimension ref="A1:AA69"/>
  <sheetViews>
    <sheetView view="pageBreakPreview" zoomScale="85" zoomScaleNormal="100" zoomScaleSheetLayoutView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1" sqref="C11"/>
    </sheetView>
  </sheetViews>
  <sheetFormatPr defaultColWidth="9.140625" defaultRowHeight="15" outlineLevelCol="1" x14ac:dyDescent="0.2"/>
  <cols>
    <col min="1" max="1" width="7.7109375" style="13" customWidth="1"/>
    <col min="2" max="2" width="7" style="5" customWidth="1"/>
    <col min="3" max="3" width="63" style="5" customWidth="1"/>
    <col min="4" max="4" width="12.140625" style="1" customWidth="1"/>
    <col min="5" max="5" width="14.85546875" style="1" customWidth="1"/>
    <col min="6" max="6" width="15.140625" style="15" hidden="1" customWidth="1"/>
    <col min="7" max="7" width="17.85546875" style="1" hidden="1" customWidth="1"/>
    <col min="8" max="8" width="14" style="1" hidden="1" customWidth="1"/>
    <col min="9" max="9" width="15.28515625" style="4" hidden="1" customWidth="1"/>
    <col min="10" max="10" width="14.7109375" style="4" hidden="1" customWidth="1" outlineLevel="1"/>
    <col min="11" max="11" width="15.28515625" style="4" hidden="1" customWidth="1" outlineLevel="1"/>
    <col min="12" max="12" width="14" style="1" hidden="1" customWidth="1" outlineLevel="1"/>
    <col min="13" max="13" width="15.28515625" style="4" hidden="1" customWidth="1" outlineLevel="1"/>
    <col min="14" max="14" width="14.7109375" style="4" hidden="1" customWidth="1" outlineLevel="1"/>
    <col min="15" max="15" width="15.28515625" style="4" hidden="1" customWidth="1" outlineLevel="1"/>
    <col min="16" max="16" width="16" style="6" hidden="1" customWidth="1" collapsed="1"/>
    <col min="17" max="17" width="18.85546875" style="14" hidden="1" customWidth="1"/>
    <col min="18" max="18" width="14.42578125" style="6" hidden="1" customWidth="1"/>
    <col min="19" max="19" width="17" style="14" hidden="1" customWidth="1"/>
    <col min="20" max="20" width="34.5703125" style="6" hidden="1" customWidth="1"/>
    <col min="21" max="24" width="8.42578125" style="6" customWidth="1"/>
    <col min="25" max="25" width="11.85546875" style="6" bestFit="1" customWidth="1"/>
    <col min="26" max="16384" width="9.140625" style="6"/>
  </cols>
  <sheetData>
    <row r="1" spans="1:26" ht="18.75" customHeight="1" thickBot="1" x14ac:dyDescent="0.25">
      <c r="B1" s="131" t="s">
        <v>65</v>
      </c>
      <c r="C1" s="131"/>
      <c r="D1" s="131"/>
      <c r="E1" s="131"/>
      <c r="F1" s="131"/>
      <c r="G1" s="131"/>
      <c r="H1" s="7"/>
      <c r="I1" s="6"/>
      <c r="J1" s="6"/>
      <c r="K1" s="6"/>
      <c r="L1" s="7"/>
      <c r="M1" s="6"/>
      <c r="N1" s="6"/>
      <c r="O1" s="6"/>
    </row>
    <row r="2" spans="1:26" s="9" customFormat="1" ht="43.5" customHeight="1" thickBot="1" x14ac:dyDescent="0.25">
      <c r="A2" s="13"/>
      <c r="B2" s="132" t="s">
        <v>10</v>
      </c>
      <c r="C2" s="132" t="s">
        <v>1</v>
      </c>
      <c r="D2" s="132" t="s">
        <v>2</v>
      </c>
      <c r="E2" s="133" t="s">
        <v>64</v>
      </c>
      <c r="F2" s="133"/>
      <c r="G2" s="133"/>
      <c r="H2" s="128" t="s">
        <v>3</v>
      </c>
      <c r="I2" s="128"/>
      <c r="J2" s="129" t="s">
        <v>3</v>
      </c>
      <c r="K2" s="130"/>
      <c r="L2" s="129" t="s">
        <v>3</v>
      </c>
      <c r="M2" s="128"/>
      <c r="N2" s="129" t="s">
        <v>3</v>
      </c>
      <c r="O2" s="130"/>
      <c r="P2" s="121" t="s">
        <v>4</v>
      </c>
      <c r="Q2" s="122"/>
      <c r="R2" s="121" t="s">
        <v>5</v>
      </c>
      <c r="S2" s="122"/>
    </row>
    <row r="3" spans="1:26" s="9" customFormat="1" ht="29.25" customHeight="1" x14ac:dyDescent="0.2">
      <c r="A3" s="13"/>
      <c r="B3" s="132"/>
      <c r="C3" s="132"/>
      <c r="D3" s="132"/>
      <c r="E3" s="134" t="s">
        <v>0</v>
      </c>
      <c r="F3" s="134" t="s">
        <v>11</v>
      </c>
      <c r="G3" s="123" t="s">
        <v>12</v>
      </c>
      <c r="H3" s="124" t="s">
        <v>17</v>
      </c>
      <c r="I3" s="125"/>
      <c r="J3" s="126" t="s">
        <v>17</v>
      </c>
      <c r="K3" s="127"/>
      <c r="L3" s="126" t="s">
        <v>17</v>
      </c>
      <c r="M3" s="127"/>
      <c r="N3" s="126" t="s">
        <v>17</v>
      </c>
      <c r="O3" s="127"/>
      <c r="P3" s="117" t="s">
        <v>6</v>
      </c>
      <c r="Q3" s="115" t="s">
        <v>15</v>
      </c>
      <c r="R3" s="117" t="s">
        <v>0</v>
      </c>
      <c r="S3" s="119" t="s">
        <v>63</v>
      </c>
    </row>
    <row r="4" spans="1:26" s="9" customFormat="1" ht="21.75" customHeight="1" x14ac:dyDescent="0.2">
      <c r="A4" s="13"/>
      <c r="B4" s="132"/>
      <c r="C4" s="132"/>
      <c r="D4" s="132"/>
      <c r="E4" s="134"/>
      <c r="F4" s="134"/>
      <c r="G4" s="123"/>
      <c r="H4" s="30" t="s">
        <v>0</v>
      </c>
      <c r="I4" s="11" t="s">
        <v>7</v>
      </c>
      <c r="J4" s="12" t="s">
        <v>0</v>
      </c>
      <c r="K4" s="16" t="s">
        <v>7</v>
      </c>
      <c r="L4" s="10" t="s">
        <v>0</v>
      </c>
      <c r="M4" s="11" t="s">
        <v>7</v>
      </c>
      <c r="N4" s="12" t="s">
        <v>0</v>
      </c>
      <c r="O4" s="16" t="s">
        <v>7</v>
      </c>
      <c r="P4" s="118"/>
      <c r="Q4" s="116"/>
      <c r="R4" s="118"/>
      <c r="S4" s="120"/>
    </row>
    <row r="5" spans="1:26" s="9" customFormat="1" ht="15.75" thickBot="1" x14ac:dyDescent="0.25">
      <c r="A5" s="13"/>
      <c r="B5" s="35">
        <v>1</v>
      </c>
      <c r="C5" s="35">
        <v>4</v>
      </c>
      <c r="D5" s="35">
        <v>6</v>
      </c>
      <c r="E5" s="35">
        <v>7</v>
      </c>
      <c r="F5" s="35">
        <v>8</v>
      </c>
      <c r="G5" s="35">
        <v>9</v>
      </c>
      <c r="H5" s="31">
        <v>10</v>
      </c>
      <c r="I5" s="2">
        <v>11</v>
      </c>
      <c r="J5" s="3">
        <v>12</v>
      </c>
      <c r="K5" s="2">
        <v>13</v>
      </c>
      <c r="L5" s="3">
        <v>14</v>
      </c>
      <c r="M5" s="2">
        <v>15</v>
      </c>
      <c r="N5" s="3">
        <v>16</v>
      </c>
      <c r="O5" s="2">
        <v>17</v>
      </c>
      <c r="P5" s="3">
        <v>18</v>
      </c>
      <c r="Q5" s="2">
        <v>19</v>
      </c>
      <c r="R5" s="3">
        <v>20</v>
      </c>
      <c r="S5" s="2">
        <v>21</v>
      </c>
    </row>
    <row r="6" spans="1:26" s="69" customFormat="1" ht="28.5" customHeight="1" x14ac:dyDescent="0.2">
      <c r="A6" s="66" t="s">
        <v>8</v>
      </c>
      <c r="B6" s="33"/>
      <c r="C6" s="24" t="s">
        <v>90</v>
      </c>
      <c r="D6" s="37" t="s">
        <v>69</v>
      </c>
      <c r="E6" s="38">
        <f>E7+E8+E9+E10+E11+E12+E13+E14+E15+E16+E17+E18+E19</f>
        <v>241</v>
      </c>
      <c r="F6" s="25"/>
      <c r="G6" s="34"/>
      <c r="H6" s="32"/>
      <c r="I6" s="26"/>
      <c r="J6" s="67"/>
      <c r="K6" s="28"/>
      <c r="L6" s="67"/>
      <c r="M6" s="26"/>
      <c r="N6" s="67"/>
      <c r="O6" s="28"/>
      <c r="P6" s="27"/>
      <c r="Q6" s="28"/>
      <c r="R6" s="27"/>
      <c r="S6" s="28"/>
      <c r="T6" s="68" t="s">
        <v>68</v>
      </c>
      <c r="U6" s="8"/>
      <c r="V6" s="88"/>
      <c r="W6" s="8"/>
      <c r="X6" s="88"/>
      <c r="Y6" s="91">
        <f>SUM(Y7:Y19)</f>
        <v>8.5500000000000007</v>
      </c>
      <c r="Z6" s="88" t="s">
        <v>89</v>
      </c>
    </row>
    <row r="7" spans="1:26" ht="28.5" customHeight="1" x14ac:dyDescent="0.2">
      <c r="A7" s="13" t="s">
        <v>9</v>
      </c>
      <c r="B7" s="39"/>
      <c r="C7" s="41" t="s">
        <v>70</v>
      </c>
      <c r="D7" s="42" t="s">
        <v>69</v>
      </c>
      <c r="E7" s="43">
        <f>19+18+18+18+21</f>
        <v>94</v>
      </c>
      <c r="F7" s="44"/>
      <c r="G7" s="45"/>
      <c r="H7" s="46"/>
      <c r="I7" s="17"/>
      <c r="J7" s="47"/>
      <c r="K7" s="18"/>
      <c r="L7" s="47"/>
      <c r="M7" s="17"/>
      <c r="N7" s="47"/>
      <c r="O7" s="18"/>
      <c r="P7" s="48"/>
      <c r="Q7" s="49"/>
      <c r="R7" s="48"/>
      <c r="S7" s="49"/>
      <c r="T7" s="29" t="s">
        <v>67</v>
      </c>
      <c r="U7" s="8">
        <v>0.15</v>
      </c>
      <c r="V7" s="8">
        <v>1.2999999999999999E-2</v>
      </c>
      <c r="W7" s="8">
        <v>20</v>
      </c>
      <c r="X7" s="90">
        <f>W7*V7*U7</f>
        <v>3.9E-2</v>
      </c>
      <c r="Y7" s="8">
        <f>E7*X7</f>
        <v>3.6659999999999999</v>
      </c>
      <c r="Z7" s="8"/>
    </row>
    <row r="8" spans="1:26" ht="28.5" customHeight="1" x14ac:dyDescent="0.2">
      <c r="A8" s="13" t="s">
        <v>9</v>
      </c>
      <c r="B8" s="39"/>
      <c r="C8" s="41" t="s">
        <v>71</v>
      </c>
      <c r="D8" s="42" t="s">
        <v>69</v>
      </c>
      <c r="E8" s="43">
        <f>4+8+8+8+3</f>
        <v>31</v>
      </c>
      <c r="F8" s="44"/>
      <c r="G8" s="45"/>
      <c r="H8" s="46"/>
      <c r="I8" s="17"/>
      <c r="J8" s="47"/>
      <c r="K8" s="18"/>
      <c r="L8" s="47"/>
      <c r="M8" s="17"/>
      <c r="N8" s="47"/>
      <c r="O8" s="18"/>
      <c r="P8" s="48"/>
      <c r="Q8" s="49"/>
      <c r="R8" s="48"/>
      <c r="S8" s="49"/>
      <c r="T8" s="29" t="s">
        <v>67</v>
      </c>
      <c r="U8" s="8">
        <v>0.15</v>
      </c>
      <c r="V8" s="8">
        <v>1.2999999999999999E-2</v>
      </c>
      <c r="W8" s="8">
        <v>16</v>
      </c>
      <c r="X8" s="90">
        <f>W8*V8*U8</f>
        <v>3.1199999999999999E-2</v>
      </c>
      <c r="Y8" s="8">
        <f t="shared" ref="Y8:Y69" si="0">E8*X8</f>
        <v>0.96719999999999995</v>
      </c>
      <c r="Z8" s="8"/>
    </row>
    <row r="9" spans="1:26" ht="28.5" customHeight="1" x14ac:dyDescent="0.2">
      <c r="A9" s="13" t="s">
        <v>9</v>
      </c>
      <c r="B9" s="39"/>
      <c r="C9" s="41" t="s">
        <v>72</v>
      </c>
      <c r="D9" s="42" t="s">
        <v>69</v>
      </c>
      <c r="E9" s="43">
        <f>1+2+2+2+3</f>
        <v>10</v>
      </c>
      <c r="F9" s="44"/>
      <c r="G9" s="45"/>
      <c r="H9" s="46"/>
      <c r="I9" s="17"/>
      <c r="J9" s="47"/>
      <c r="K9" s="18"/>
      <c r="L9" s="47"/>
      <c r="M9" s="17"/>
      <c r="N9" s="47"/>
      <c r="O9" s="18"/>
      <c r="P9" s="48"/>
      <c r="Q9" s="49"/>
      <c r="R9" s="48"/>
      <c r="S9" s="49"/>
      <c r="T9" s="29" t="s">
        <v>67</v>
      </c>
      <c r="U9" s="8">
        <v>0.15</v>
      </c>
      <c r="V9" s="8">
        <v>1.2999999999999999E-2</v>
      </c>
      <c r="W9" s="8">
        <v>10</v>
      </c>
      <c r="X9" s="90">
        <f>W9*V9*U9</f>
        <v>1.95E-2</v>
      </c>
      <c r="Y9" s="8">
        <f t="shared" si="0"/>
        <v>0.19500000000000001</v>
      </c>
      <c r="Z9" s="8"/>
    </row>
    <row r="10" spans="1:26" ht="28.5" customHeight="1" x14ac:dyDescent="0.2">
      <c r="A10" s="13" t="s">
        <v>9</v>
      </c>
      <c r="B10" s="39"/>
      <c r="C10" s="41" t="s">
        <v>73</v>
      </c>
      <c r="D10" s="42" t="s">
        <v>69</v>
      </c>
      <c r="E10" s="43">
        <f>1</f>
        <v>1</v>
      </c>
      <c r="F10" s="44"/>
      <c r="G10" s="45"/>
      <c r="H10" s="46"/>
      <c r="I10" s="17"/>
      <c r="J10" s="47"/>
      <c r="K10" s="18"/>
      <c r="L10" s="47"/>
      <c r="M10" s="17"/>
      <c r="N10" s="47"/>
      <c r="O10" s="18"/>
      <c r="P10" s="48"/>
      <c r="Q10" s="49"/>
      <c r="R10" s="48"/>
      <c r="S10" s="49"/>
      <c r="T10" s="29" t="s">
        <v>67</v>
      </c>
      <c r="U10" s="8">
        <v>0.15</v>
      </c>
      <c r="V10" s="8">
        <v>1.2999999999999999E-2</v>
      </c>
      <c r="W10" s="8">
        <v>10</v>
      </c>
      <c r="X10" s="90">
        <f t="shared" ref="X10:X19" si="1">W10*V10*U10</f>
        <v>1.95E-2</v>
      </c>
      <c r="Y10" s="8">
        <f t="shared" si="0"/>
        <v>1.95E-2</v>
      </c>
      <c r="Z10" s="8"/>
    </row>
    <row r="11" spans="1:26" ht="28.5" customHeight="1" x14ac:dyDescent="0.2">
      <c r="A11" s="13" t="s">
        <v>9</v>
      </c>
      <c r="B11" s="39"/>
      <c r="C11" s="41" t="s">
        <v>74</v>
      </c>
      <c r="D11" s="42" t="s">
        <v>69</v>
      </c>
      <c r="E11" s="43">
        <f>10+2+2+2+7</f>
        <v>23</v>
      </c>
      <c r="F11" s="44"/>
      <c r="G11" s="45"/>
      <c r="H11" s="46"/>
      <c r="I11" s="17"/>
      <c r="J11" s="47"/>
      <c r="K11" s="18"/>
      <c r="L11" s="47"/>
      <c r="M11" s="17"/>
      <c r="N11" s="47"/>
      <c r="O11" s="18"/>
      <c r="P11" s="48"/>
      <c r="Q11" s="49"/>
      <c r="R11" s="48"/>
      <c r="S11" s="49"/>
      <c r="T11" s="29" t="s">
        <v>67</v>
      </c>
      <c r="U11" s="8">
        <v>0.15</v>
      </c>
      <c r="V11" s="8">
        <v>1.2999999999999999E-2</v>
      </c>
      <c r="W11" s="8">
        <v>20</v>
      </c>
      <c r="X11" s="90">
        <f t="shared" si="1"/>
        <v>3.9E-2</v>
      </c>
      <c r="Y11" s="8">
        <f t="shared" si="0"/>
        <v>0.89700000000000002</v>
      </c>
      <c r="Z11" s="8"/>
    </row>
    <row r="12" spans="1:26" ht="28.5" customHeight="1" x14ac:dyDescent="0.2">
      <c r="A12" s="13" t="s">
        <v>9</v>
      </c>
      <c r="B12" s="39"/>
      <c r="C12" s="41" t="s">
        <v>75</v>
      </c>
      <c r="D12" s="42" t="s">
        <v>69</v>
      </c>
      <c r="E12" s="43">
        <f>2+2+2+2</f>
        <v>8</v>
      </c>
      <c r="F12" s="44"/>
      <c r="G12" s="45"/>
      <c r="H12" s="46"/>
      <c r="I12" s="17"/>
      <c r="J12" s="47"/>
      <c r="K12" s="18"/>
      <c r="L12" s="47"/>
      <c r="M12" s="17"/>
      <c r="N12" s="47"/>
      <c r="O12" s="18"/>
      <c r="P12" s="48"/>
      <c r="Q12" s="49"/>
      <c r="R12" s="48"/>
      <c r="S12" s="49"/>
      <c r="T12" s="29" t="s">
        <v>67</v>
      </c>
      <c r="U12" s="8">
        <v>0.15</v>
      </c>
      <c r="V12" s="8">
        <v>1.2999999999999999E-2</v>
      </c>
      <c r="W12" s="8">
        <v>16</v>
      </c>
      <c r="X12" s="90">
        <f t="shared" si="1"/>
        <v>3.1199999999999999E-2</v>
      </c>
      <c r="Y12" s="8">
        <f t="shared" si="0"/>
        <v>0.24959999999999999</v>
      </c>
      <c r="Z12" s="8"/>
    </row>
    <row r="13" spans="1:26" ht="28.5" customHeight="1" x14ac:dyDescent="0.2">
      <c r="A13" s="13" t="s">
        <v>9</v>
      </c>
      <c r="B13" s="39"/>
      <c r="C13" s="41" t="s">
        <v>76</v>
      </c>
      <c r="D13" s="42" t="s">
        <v>69</v>
      </c>
      <c r="E13" s="43">
        <f>1+1+1+1</f>
        <v>4</v>
      </c>
      <c r="F13" s="44"/>
      <c r="G13" s="45"/>
      <c r="H13" s="46"/>
      <c r="I13" s="17"/>
      <c r="J13" s="47"/>
      <c r="K13" s="18"/>
      <c r="L13" s="47"/>
      <c r="M13" s="17"/>
      <c r="N13" s="47"/>
      <c r="O13" s="18"/>
      <c r="P13" s="48"/>
      <c r="Q13" s="49"/>
      <c r="R13" s="48"/>
      <c r="S13" s="49"/>
      <c r="T13" s="29" t="s">
        <v>67</v>
      </c>
      <c r="U13" s="8">
        <v>0.15</v>
      </c>
      <c r="V13" s="8">
        <v>1.2999999999999999E-2</v>
      </c>
      <c r="W13" s="8">
        <v>10</v>
      </c>
      <c r="X13" s="90">
        <f t="shared" si="1"/>
        <v>1.95E-2</v>
      </c>
      <c r="Y13" s="8">
        <f t="shared" si="0"/>
        <v>7.8E-2</v>
      </c>
      <c r="Z13" s="8"/>
    </row>
    <row r="14" spans="1:26" ht="28.5" customHeight="1" x14ac:dyDescent="0.2">
      <c r="A14" s="13" t="s">
        <v>9</v>
      </c>
      <c r="B14" s="39"/>
      <c r="C14" s="41" t="s">
        <v>77</v>
      </c>
      <c r="D14" s="42" t="s">
        <v>69</v>
      </c>
      <c r="E14" s="43">
        <f>2+2+2+2+2</f>
        <v>10</v>
      </c>
      <c r="F14" s="44"/>
      <c r="G14" s="45"/>
      <c r="H14" s="46"/>
      <c r="I14" s="17"/>
      <c r="J14" s="47"/>
      <c r="K14" s="18"/>
      <c r="L14" s="47"/>
      <c r="M14" s="17"/>
      <c r="N14" s="47"/>
      <c r="O14" s="18"/>
      <c r="P14" s="48"/>
      <c r="Q14" s="49"/>
      <c r="R14" s="48"/>
      <c r="S14" s="49"/>
      <c r="T14" s="29" t="s">
        <v>67</v>
      </c>
      <c r="U14" s="8">
        <v>0.15</v>
      </c>
      <c r="V14" s="8">
        <v>1.2999999999999999E-2</v>
      </c>
      <c r="W14" s="8">
        <v>20</v>
      </c>
      <c r="X14" s="90">
        <f t="shared" si="1"/>
        <v>3.9E-2</v>
      </c>
      <c r="Y14" s="8">
        <f t="shared" si="0"/>
        <v>0.39</v>
      </c>
      <c r="Z14" s="8"/>
    </row>
    <row r="15" spans="1:26" ht="28.5" customHeight="1" x14ac:dyDescent="0.2">
      <c r="A15" s="13" t="s">
        <v>9</v>
      </c>
      <c r="B15" s="39"/>
      <c r="C15" s="41" t="s">
        <v>78</v>
      </c>
      <c r="D15" s="42" t="s">
        <v>69</v>
      </c>
      <c r="E15" s="43">
        <f>3+3</f>
        <v>6</v>
      </c>
      <c r="F15" s="44"/>
      <c r="G15" s="45"/>
      <c r="H15" s="46"/>
      <c r="I15" s="17"/>
      <c r="J15" s="47"/>
      <c r="K15" s="18"/>
      <c r="L15" s="47"/>
      <c r="M15" s="17"/>
      <c r="N15" s="47"/>
      <c r="O15" s="18"/>
      <c r="P15" s="48"/>
      <c r="Q15" s="49"/>
      <c r="R15" s="48"/>
      <c r="S15" s="49"/>
      <c r="T15" s="29" t="s">
        <v>67</v>
      </c>
      <c r="U15" s="8">
        <v>0.15</v>
      </c>
      <c r="V15" s="8">
        <v>1.2999999999999999E-2</v>
      </c>
      <c r="W15" s="8">
        <v>20</v>
      </c>
      <c r="X15" s="90">
        <f t="shared" si="1"/>
        <v>3.9E-2</v>
      </c>
      <c r="Y15" s="8">
        <f t="shared" si="0"/>
        <v>0.23400000000000001</v>
      </c>
      <c r="Z15" s="8"/>
    </row>
    <row r="16" spans="1:26" ht="28.5" customHeight="1" x14ac:dyDescent="0.2">
      <c r="A16" s="13" t="s">
        <v>9</v>
      </c>
      <c r="B16" s="39"/>
      <c r="C16" s="41" t="s">
        <v>79</v>
      </c>
      <c r="D16" s="42" t="s">
        <v>69</v>
      </c>
      <c r="E16" s="43">
        <f>6+4+4+4+4</f>
        <v>22</v>
      </c>
      <c r="F16" s="44"/>
      <c r="G16" s="45"/>
      <c r="H16" s="46"/>
      <c r="I16" s="17"/>
      <c r="J16" s="47"/>
      <c r="K16" s="18"/>
      <c r="L16" s="47"/>
      <c r="M16" s="17"/>
      <c r="N16" s="47"/>
      <c r="O16" s="18"/>
      <c r="P16" s="48"/>
      <c r="Q16" s="49"/>
      <c r="R16" s="48"/>
      <c r="S16" s="49"/>
      <c r="T16" s="29" t="s">
        <v>67</v>
      </c>
      <c r="U16" s="8">
        <v>0.15</v>
      </c>
      <c r="V16" s="8">
        <v>1.2999999999999999E-2</v>
      </c>
      <c r="W16" s="8">
        <v>16</v>
      </c>
      <c r="X16" s="90">
        <f t="shared" si="1"/>
        <v>3.1199999999999999E-2</v>
      </c>
      <c r="Y16" s="8">
        <f t="shared" si="0"/>
        <v>0.68640000000000001</v>
      </c>
      <c r="Z16" s="8"/>
    </row>
    <row r="17" spans="1:27" ht="28.5" customHeight="1" x14ac:dyDescent="0.2">
      <c r="A17" s="13" t="s">
        <v>9</v>
      </c>
      <c r="B17" s="39"/>
      <c r="C17" s="41" t="s">
        <v>80</v>
      </c>
      <c r="D17" s="42" t="s">
        <v>69</v>
      </c>
      <c r="E17" s="43">
        <f>1+1+1</f>
        <v>3</v>
      </c>
      <c r="F17" s="44"/>
      <c r="G17" s="45"/>
      <c r="H17" s="46"/>
      <c r="I17" s="17"/>
      <c r="J17" s="47"/>
      <c r="K17" s="18"/>
      <c r="L17" s="47"/>
      <c r="M17" s="17"/>
      <c r="N17" s="47"/>
      <c r="O17" s="18"/>
      <c r="P17" s="48"/>
      <c r="Q17" s="49"/>
      <c r="R17" s="48"/>
      <c r="S17" s="49"/>
      <c r="T17" s="29" t="s">
        <v>67</v>
      </c>
      <c r="U17" s="8">
        <v>0.15</v>
      </c>
      <c r="V17" s="8">
        <v>1.2999999999999999E-2</v>
      </c>
      <c r="W17" s="8">
        <v>20</v>
      </c>
      <c r="X17" s="90">
        <f t="shared" si="1"/>
        <v>3.9E-2</v>
      </c>
      <c r="Y17" s="8">
        <f t="shared" si="0"/>
        <v>0.11700000000000001</v>
      </c>
      <c r="Z17" s="8"/>
    </row>
    <row r="18" spans="1:27" ht="28.5" customHeight="1" x14ac:dyDescent="0.2">
      <c r="A18" s="13" t="s">
        <v>9</v>
      </c>
      <c r="B18" s="39"/>
      <c r="C18" s="41" t="s">
        <v>81</v>
      </c>
      <c r="D18" s="42" t="s">
        <v>69</v>
      </c>
      <c r="E18" s="43">
        <f>1+1+1+1</f>
        <v>4</v>
      </c>
      <c r="F18" s="44"/>
      <c r="G18" s="45"/>
      <c r="H18" s="46"/>
      <c r="I18" s="17"/>
      <c r="J18" s="47"/>
      <c r="K18" s="18"/>
      <c r="L18" s="47"/>
      <c r="M18" s="17"/>
      <c r="N18" s="47"/>
      <c r="O18" s="18"/>
      <c r="P18" s="48"/>
      <c r="Q18" s="49"/>
      <c r="R18" s="48"/>
      <c r="S18" s="49"/>
      <c r="T18" s="29" t="s">
        <v>67</v>
      </c>
      <c r="U18" s="8">
        <v>0.15</v>
      </c>
      <c r="V18" s="8">
        <v>1.2999999999999999E-2</v>
      </c>
      <c r="W18" s="8">
        <v>10</v>
      </c>
      <c r="X18" s="90">
        <f t="shared" si="1"/>
        <v>1.95E-2</v>
      </c>
      <c r="Y18" s="8">
        <f t="shared" si="0"/>
        <v>7.8E-2</v>
      </c>
      <c r="Z18" s="8"/>
    </row>
    <row r="19" spans="1:27" ht="28.5" customHeight="1" x14ac:dyDescent="0.2">
      <c r="A19" s="13" t="s">
        <v>9</v>
      </c>
      <c r="B19" s="39"/>
      <c r="C19" s="41" t="s">
        <v>82</v>
      </c>
      <c r="D19" s="42" t="s">
        <v>69</v>
      </c>
      <c r="E19" s="43">
        <f>7+7+7+4</f>
        <v>25</v>
      </c>
      <c r="F19" s="44"/>
      <c r="G19" s="45"/>
      <c r="H19" s="46"/>
      <c r="I19" s="17"/>
      <c r="J19" s="47"/>
      <c r="K19" s="18"/>
      <c r="L19" s="47"/>
      <c r="M19" s="17"/>
      <c r="N19" s="47"/>
      <c r="O19" s="18"/>
      <c r="P19" s="48"/>
      <c r="Q19" s="49"/>
      <c r="R19" s="48"/>
      <c r="S19" s="49"/>
      <c r="T19" s="29" t="s">
        <v>67</v>
      </c>
      <c r="U19" s="8">
        <v>0.15</v>
      </c>
      <c r="V19" s="8">
        <v>1.2999999999999999E-2</v>
      </c>
      <c r="W19" s="8">
        <v>20</v>
      </c>
      <c r="X19" s="90">
        <f t="shared" si="1"/>
        <v>3.9E-2</v>
      </c>
      <c r="Y19" s="8">
        <f t="shared" si="0"/>
        <v>0.97499999999999998</v>
      </c>
      <c r="Z19" s="8"/>
    </row>
    <row r="20" spans="1:27" s="69" customFormat="1" ht="28.5" customHeight="1" x14ac:dyDescent="0.2">
      <c r="A20" s="66" t="s">
        <v>8</v>
      </c>
      <c r="B20" s="33"/>
      <c r="C20" s="24" t="s">
        <v>91</v>
      </c>
      <c r="D20" s="37" t="s">
        <v>69</v>
      </c>
      <c r="E20" s="38">
        <f>E21+E22+E23+E24+E25+E26+E27+E28+E29+E30+E31+E32+E33+E34+E35+E36+E37+E38</f>
        <v>365</v>
      </c>
      <c r="F20" s="25"/>
      <c r="G20" s="34"/>
      <c r="H20" s="32"/>
      <c r="I20" s="26"/>
      <c r="J20" s="67"/>
      <c r="K20" s="28"/>
      <c r="L20" s="67"/>
      <c r="M20" s="26"/>
      <c r="N20" s="67"/>
      <c r="O20" s="28"/>
      <c r="P20" s="27"/>
      <c r="Q20" s="28"/>
      <c r="R20" s="27"/>
      <c r="S20" s="28"/>
      <c r="T20" s="68" t="s">
        <v>68</v>
      </c>
      <c r="U20" s="8"/>
      <c r="V20" s="88"/>
      <c r="W20" s="8"/>
      <c r="X20" s="88"/>
      <c r="Y20" s="91">
        <f>SUM(Y21:Y38)</f>
        <v>12.3</v>
      </c>
      <c r="Z20" s="88" t="s">
        <v>89</v>
      </c>
    </row>
    <row r="21" spans="1:27" ht="28.5" customHeight="1" x14ac:dyDescent="0.2">
      <c r="A21" s="13" t="s">
        <v>9</v>
      </c>
      <c r="B21" s="39"/>
      <c r="C21" s="41" t="s">
        <v>70</v>
      </c>
      <c r="D21" s="42" t="s">
        <v>69</v>
      </c>
      <c r="E21" s="43">
        <f>8+8+8+8+6</f>
        <v>38</v>
      </c>
      <c r="F21" s="44"/>
      <c r="G21" s="45"/>
      <c r="H21" s="46"/>
      <c r="I21" s="17"/>
      <c r="J21" s="47"/>
      <c r="K21" s="18"/>
      <c r="L21" s="47"/>
      <c r="M21" s="17"/>
      <c r="N21" s="47"/>
      <c r="O21" s="18"/>
      <c r="P21" s="48"/>
      <c r="Q21" s="49"/>
      <c r="R21" s="48"/>
      <c r="S21" s="49"/>
      <c r="T21" s="29" t="s">
        <v>67</v>
      </c>
      <c r="U21" s="8">
        <v>0.15</v>
      </c>
      <c r="V21" s="8">
        <v>1.2999999999999999E-2</v>
      </c>
      <c r="W21" s="8">
        <v>20</v>
      </c>
      <c r="X21" s="90">
        <f>W21*V21*U21</f>
        <v>3.9E-2</v>
      </c>
      <c r="Y21" s="8">
        <f t="shared" si="0"/>
        <v>1.482</v>
      </c>
      <c r="Z21" s="8"/>
    </row>
    <row r="22" spans="1:27" ht="28.5" customHeight="1" x14ac:dyDescent="0.2">
      <c r="A22" s="13" t="s">
        <v>9</v>
      </c>
      <c r="B22" s="39"/>
      <c r="C22" s="41" t="s">
        <v>71</v>
      </c>
      <c r="D22" s="42" t="s">
        <v>69</v>
      </c>
      <c r="E22" s="43">
        <f>2+3+3+3+3</f>
        <v>14</v>
      </c>
      <c r="F22" s="44"/>
      <c r="G22" s="45"/>
      <c r="H22" s="46"/>
      <c r="I22" s="17"/>
      <c r="J22" s="47"/>
      <c r="K22" s="18"/>
      <c r="L22" s="47"/>
      <c r="M22" s="17"/>
      <c r="N22" s="47"/>
      <c r="O22" s="18"/>
      <c r="P22" s="48"/>
      <c r="Q22" s="49"/>
      <c r="R22" s="48"/>
      <c r="S22" s="49"/>
      <c r="T22" s="29" t="s">
        <v>67</v>
      </c>
      <c r="U22" s="8">
        <v>0.15</v>
      </c>
      <c r="V22" s="8">
        <v>1.2999999999999999E-2</v>
      </c>
      <c r="W22" s="8">
        <v>16</v>
      </c>
      <c r="X22" s="90">
        <f t="shared" ref="X22:X38" si="2">W22*V22*U22</f>
        <v>3.1199999999999999E-2</v>
      </c>
      <c r="Y22" s="8">
        <f t="shared" si="0"/>
        <v>0.43680000000000002</v>
      </c>
      <c r="Z22" s="8"/>
    </row>
    <row r="23" spans="1:27" ht="28.5" customHeight="1" x14ac:dyDescent="0.2">
      <c r="A23" s="13" t="s">
        <v>9</v>
      </c>
      <c r="B23" s="39"/>
      <c r="C23" s="41" t="s">
        <v>72</v>
      </c>
      <c r="D23" s="42" t="s">
        <v>69</v>
      </c>
      <c r="E23" s="43">
        <f>2+3+3+3+6</f>
        <v>17</v>
      </c>
      <c r="F23" s="44"/>
      <c r="G23" s="45"/>
      <c r="H23" s="46"/>
      <c r="I23" s="17"/>
      <c r="J23" s="47"/>
      <c r="K23" s="18"/>
      <c r="L23" s="47"/>
      <c r="M23" s="17"/>
      <c r="N23" s="47"/>
      <c r="O23" s="18"/>
      <c r="P23" s="48"/>
      <c r="Q23" s="49"/>
      <c r="R23" s="48"/>
      <c r="S23" s="49"/>
      <c r="T23" s="29" t="s">
        <v>67</v>
      </c>
      <c r="U23" s="8">
        <v>0.15</v>
      </c>
      <c r="V23" s="8">
        <v>1.2999999999999999E-2</v>
      </c>
      <c r="W23" s="8">
        <v>10</v>
      </c>
      <c r="X23" s="90">
        <f t="shared" si="2"/>
        <v>1.95E-2</v>
      </c>
      <c r="Y23" s="8">
        <f t="shared" si="0"/>
        <v>0.33150000000000002</v>
      </c>
      <c r="Z23" s="8"/>
    </row>
    <row r="24" spans="1:27" ht="28.5" customHeight="1" x14ac:dyDescent="0.2">
      <c r="A24" s="13" t="s">
        <v>9</v>
      </c>
      <c r="B24" s="39"/>
      <c r="C24" s="41" t="s">
        <v>73</v>
      </c>
      <c r="D24" s="42" t="s">
        <v>69</v>
      </c>
      <c r="E24" s="43">
        <f>1</f>
        <v>1</v>
      </c>
      <c r="F24" s="44"/>
      <c r="G24" s="45"/>
      <c r="H24" s="46"/>
      <c r="I24" s="17"/>
      <c r="J24" s="47"/>
      <c r="K24" s="18"/>
      <c r="L24" s="47"/>
      <c r="M24" s="17"/>
      <c r="N24" s="47"/>
      <c r="O24" s="18"/>
      <c r="P24" s="48"/>
      <c r="Q24" s="49"/>
      <c r="R24" s="48"/>
      <c r="S24" s="49"/>
      <c r="T24" s="29" t="s">
        <v>67</v>
      </c>
      <c r="U24" s="8">
        <v>0.15</v>
      </c>
      <c r="V24" s="8">
        <v>1.2999999999999999E-2</v>
      </c>
      <c r="W24" s="8">
        <v>10</v>
      </c>
      <c r="X24" s="90">
        <f t="shared" si="2"/>
        <v>1.95E-2</v>
      </c>
      <c r="Y24" s="8">
        <f t="shared" si="0"/>
        <v>1.95E-2</v>
      </c>
      <c r="Z24" s="8"/>
    </row>
    <row r="25" spans="1:27" ht="28.5" customHeight="1" x14ac:dyDescent="0.2">
      <c r="A25" s="13" t="s">
        <v>9</v>
      </c>
      <c r="B25" s="39"/>
      <c r="C25" s="41" t="s">
        <v>74</v>
      </c>
      <c r="D25" s="42" t="s">
        <v>69</v>
      </c>
      <c r="E25" s="43">
        <f>16+9+9+9+8</f>
        <v>51</v>
      </c>
      <c r="F25" s="44"/>
      <c r="G25" s="45"/>
      <c r="H25" s="46"/>
      <c r="I25" s="17"/>
      <c r="J25" s="47"/>
      <c r="K25" s="18"/>
      <c r="L25" s="47"/>
      <c r="M25" s="17"/>
      <c r="N25" s="47"/>
      <c r="O25" s="18"/>
      <c r="P25" s="48"/>
      <c r="Q25" s="49"/>
      <c r="R25" s="48"/>
      <c r="S25" s="49"/>
      <c r="T25" s="29" t="s">
        <v>67</v>
      </c>
      <c r="U25" s="8">
        <v>0.15</v>
      </c>
      <c r="V25" s="8">
        <v>1.2999999999999999E-2</v>
      </c>
      <c r="W25" s="8">
        <v>20</v>
      </c>
      <c r="X25" s="90">
        <f t="shared" si="2"/>
        <v>3.9E-2</v>
      </c>
      <c r="Y25" s="8">
        <f t="shared" si="0"/>
        <v>1.9890000000000001</v>
      </c>
      <c r="Z25" s="8"/>
    </row>
    <row r="26" spans="1:27" ht="28.5" customHeight="1" x14ac:dyDescent="0.2">
      <c r="A26" s="13" t="s">
        <v>9</v>
      </c>
      <c r="B26" s="39"/>
      <c r="C26" s="41" t="s">
        <v>75</v>
      </c>
      <c r="D26" s="42" t="s">
        <v>69</v>
      </c>
      <c r="E26" s="43">
        <f>3+6+6+6+6</f>
        <v>27</v>
      </c>
      <c r="F26" s="44"/>
      <c r="G26" s="45"/>
      <c r="H26" s="46"/>
      <c r="I26" s="17"/>
      <c r="J26" s="47"/>
      <c r="K26" s="18"/>
      <c r="L26" s="47"/>
      <c r="M26" s="17"/>
      <c r="N26" s="47"/>
      <c r="O26" s="18"/>
      <c r="P26" s="48"/>
      <c r="Q26" s="49"/>
      <c r="R26" s="48"/>
      <c r="S26" s="49"/>
      <c r="T26" s="29" t="s">
        <v>67</v>
      </c>
      <c r="U26" s="8">
        <v>0.15</v>
      </c>
      <c r="V26" s="8">
        <v>1.2999999999999999E-2</v>
      </c>
      <c r="W26" s="8">
        <v>16</v>
      </c>
      <c r="X26" s="90">
        <f t="shared" si="2"/>
        <v>3.1199999999999999E-2</v>
      </c>
      <c r="Y26" s="8">
        <f t="shared" si="0"/>
        <v>0.84240000000000004</v>
      </c>
      <c r="Z26" s="8"/>
      <c r="AA26" s="89"/>
    </row>
    <row r="27" spans="1:27" ht="28.5" customHeight="1" x14ac:dyDescent="0.2">
      <c r="A27" s="13" t="s">
        <v>9</v>
      </c>
      <c r="B27" s="39"/>
      <c r="C27" s="41" t="s">
        <v>76</v>
      </c>
      <c r="D27" s="42" t="s">
        <v>69</v>
      </c>
      <c r="E27" s="43">
        <f>4+2+2+2+2</f>
        <v>12</v>
      </c>
      <c r="F27" s="44"/>
      <c r="G27" s="45"/>
      <c r="H27" s="46"/>
      <c r="I27" s="17"/>
      <c r="J27" s="47"/>
      <c r="K27" s="18"/>
      <c r="L27" s="47"/>
      <c r="M27" s="17"/>
      <c r="N27" s="47"/>
      <c r="O27" s="18"/>
      <c r="P27" s="48"/>
      <c r="Q27" s="49"/>
      <c r="R27" s="48"/>
      <c r="S27" s="49"/>
      <c r="T27" s="29" t="s">
        <v>67</v>
      </c>
      <c r="U27" s="8">
        <v>0.15</v>
      </c>
      <c r="V27" s="8">
        <v>1.2999999999999999E-2</v>
      </c>
      <c r="W27" s="8">
        <v>10</v>
      </c>
      <c r="X27" s="90">
        <f t="shared" si="2"/>
        <v>1.95E-2</v>
      </c>
      <c r="Y27" s="8">
        <f t="shared" si="0"/>
        <v>0.23400000000000001</v>
      </c>
      <c r="Z27" s="8"/>
    </row>
    <row r="28" spans="1:27" ht="28.5" customHeight="1" x14ac:dyDescent="0.2">
      <c r="A28" s="13" t="s">
        <v>9</v>
      </c>
      <c r="B28" s="39"/>
      <c r="C28" s="41" t="s">
        <v>78</v>
      </c>
      <c r="D28" s="42" t="s">
        <v>69</v>
      </c>
      <c r="E28" s="43">
        <f>3+3</f>
        <v>6</v>
      </c>
      <c r="F28" s="44"/>
      <c r="G28" s="45"/>
      <c r="H28" s="46"/>
      <c r="I28" s="17"/>
      <c r="J28" s="47"/>
      <c r="K28" s="18"/>
      <c r="L28" s="47"/>
      <c r="M28" s="17"/>
      <c r="N28" s="47"/>
      <c r="O28" s="18"/>
      <c r="P28" s="48"/>
      <c r="Q28" s="49"/>
      <c r="R28" s="48"/>
      <c r="S28" s="49"/>
      <c r="T28" s="29" t="s">
        <v>67</v>
      </c>
      <c r="U28" s="8">
        <v>0.15</v>
      </c>
      <c r="V28" s="8">
        <v>1.2999999999999999E-2</v>
      </c>
      <c r="W28" s="8">
        <v>20</v>
      </c>
      <c r="X28" s="90">
        <f t="shared" si="2"/>
        <v>3.9E-2</v>
      </c>
      <c r="Y28" s="8">
        <f t="shared" si="0"/>
        <v>0.23400000000000001</v>
      </c>
      <c r="Z28" s="8"/>
    </row>
    <row r="29" spans="1:27" ht="28.5" customHeight="1" x14ac:dyDescent="0.2">
      <c r="A29" s="13" t="s">
        <v>9</v>
      </c>
      <c r="B29" s="39"/>
      <c r="C29" s="41" t="s">
        <v>79</v>
      </c>
      <c r="D29" s="42" t="s">
        <v>69</v>
      </c>
      <c r="E29" s="43">
        <f>6+3+3+3+2</f>
        <v>17</v>
      </c>
      <c r="F29" s="44"/>
      <c r="G29" s="45"/>
      <c r="H29" s="46"/>
      <c r="I29" s="17"/>
      <c r="J29" s="47"/>
      <c r="K29" s="18"/>
      <c r="L29" s="47"/>
      <c r="M29" s="17"/>
      <c r="N29" s="47"/>
      <c r="O29" s="18"/>
      <c r="P29" s="48"/>
      <c r="Q29" s="49"/>
      <c r="R29" s="48"/>
      <c r="S29" s="49"/>
      <c r="T29" s="29" t="s">
        <v>67</v>
      </c>
      <c r="U29" s="8">
        <v>0.15</v>
      </c>
      <c r="V29" s="8">
        <v>1.2999999999999999E-2</v>
      </c>
      <c r="W29" s="8">
        <v>16</v>
      </c>
      <c r="X29" s="90">
        <f t="shared" si="2"/>
        <v>3.1199999999999999E-2</v>
      </c>
      <c r="Y29" s="8">
        <f t="shared" si="0"/>
        <v>0.53039999999999998</v>
      </c>
      <c r="Z29" s="8"/>
    </row>
    <row r="30" spans="1:27" ht="28.5" customHeight="1" x14ac:dyDescent="0.2">
      <c r="A30" s="13" t="s">
        <v>9</v>
      </c>
      <c r="B30" s="39"/>
      <c r="C30" s="41" t="s">
        <v>83</v>
      </c>
      <c r="D30" s="42" t="s">
        <v>69</v>
      </c>
      <c r="E30" s="43">
        <f>6+6+6+6+6</f>
        <v>30</v>
      </c>
      <c r="F30" s="44"/>
      <c r="G30" s="45"/>
      <c r="H30" s="46"/>
      <c r="I30" s="17"/>
      <c r="J30" s="47"/>
      <c r="K30" s="18"/>
      <c r="L30" s="47"/>
      <c r="M30" s="17"/>
      <c r="N30" s="47"/>
      <c r="O30" s="18"/>
      <c r="P30" s="48"/>
      <c r="Q30" s="49"/>
      <c r="R30" s="48"/>
      <c r="S30" s="49"/>
      <c r="T30" s="29" t="s">
        <v>67</v>
      </c>
      <c r="U30" s="8">
        <v>0.15</v>
      </c>
      <c r="V30" s="8">
        <v>1.2999999999999999E-2</v>
      </c>
      <c r="W30" s="8">
        <v>16</v>
      </c>
      <c r="X30" s="90">
        <f t="shared" si="2"/>
        <v>3.1199999999999999E-2</v>
      </c>
      <c r="Y30" s="8">
        <f t="shared" si="0"/>
        <v>0.93600000000000005</v>
      </c>
      <c r="Z30" s="8"/>
    </row>
    <row r="31" spans="1:27" ht="28.5" customHeight="1" x14ac:dyDescent="0.2">
      <c r="A31" s="13" t="s">
        <v>9</v>
      </c>
      <c r="B31" s="39"/>
      <c r="C31" s="41" t="s">
        <v>84</v>
      </c>
      <c r="D31" s="42" t="s">
        <v>69</v>
      </c>
      <c r="E31" s="43">
        <f>4+4+4+4+4</f>
        <v>20</v>
      </c>
      <c r="F31" s="44"/>
      <c r="G31" s="45"/>
      <c r="H31" s="46"/>
      <c r="I31" s="17"/>
      <c r="J31" s="47"/>
      <c r="K31" s="18"/>
      <c r="L31" s="47"/>
      <c r="M31" s="17"/>
      <c r="N31" s="47"/>
      <c r="O31" s="18"/>
      <c r="P31" s="48"/>
      <c r="Q31" s="49"/>
      <c r="R31" s="48"/>
      <c r="S31" s="49"/>
      <c r="T31" s="29" t="s">
        <v>67</v>
      </c>
      <c r="U31" s="8">
        <v>0.15</v>
      </c>
      <c r="V31" s="8">
        <v>1.2999999999999999E-2</v>
      </c>
      <c r="W31" s="8">
        <v>20</v>
      </c>
      <c r="X31" s="90">
        <f t="shared" si="2"/>
        <v>3.9E-2</v>
      </c>
      <c r="Y31" s="8">
        <f t="shared" si="0"/>
        <v>0.78</v>
      </c>
      <c r="Z31" s="8"/>
    </row>
    <row r="32" spans="1:27" ht="28.5" customHeight="1" x14ac:dyDescent="0.2">
      <c r="A32" s="13" t="s">
        <v>9</v>
      </c>
      <c r="B32" s="39"/>
      <c r="C32" s="41" t="s">
        <v>85</v>
      </c>
      <c r="D32" s="42" t="s">
        <v>69</v>
      </c>
      <c r="E32" s="43">
        <f>2+2+2+2+2</f>
        <v>10</v>
      </c>
      <c r="F32" s="44"/>
      <c r="G32" s="45"/>
      <c r="H32" s="46"/>
      <c r="I32" s="17"/>
      <c r="J32" s="47"/>
      <c r="K32" s="18"/>
      <c r="L32" s="47"/>
      <c r="M32" s="17"/>
      <c r="N32" s="47"/>
      <c r="O32" s="18"/>
      <c r="P32" s="48"/>
      <c r="Q32" s="49"/>
      <c r="R32" s="48"/>
      <c r="S32" s="49"/>
      <c r="T32" s="29" t="s">
        <v>67</v>
      </c>
      <c r="U32" s="8">
        <v>0.15</v>
      </c>
      <c r="V32" s="8">
        <v>1.2999999999999999E-2</v>
      </c>
      <c r="W32" s="8">
        <v>10</v>
      </c>
      <c r="X32" s="90">
        <f t="shared" si="2"/>
        <v>1.95E-2</v>
      </c>
      <c r="Y32" s="8">
        <f t="shared" si="0"/>
        <v>0.19500000000000001</v>
      </c>
      <c r="Z32" s="8"/>
    </row>
    <row r="33" spans="1:27" ht="28.5" customHeight="1" x14ac:dyDescent="0.2">
      <c r="A33" s="13" t="s">
        <v>9</v>
      </c>
      <c r="B33" s="39"/>
      <c r="C33" s="41" t="s">
        <v>80</v>
      </c>
      <c r="D33" s="42" t="s">
        <v>69</v>
      </c>
      <c r="E33" s="43">
        <f>4+7+7+7+7</f>
        <v>32</v>
      </c>
      <c r="F33" s="44"/>
      <c r="G33" s="45"/>
      <c r="H33" s="46"/>
      <c r="I33" s="17"/>
      <c r="J33" s="47"/>
      <c r="K33" s="18"/>
      <c r="L33" s="47"/>
      <c r="M33" s="17"/>
      <c r="N33" s="47"/>
      <c r="O33" s="18"/>
      <c r="P33" s="48"/>
      <c r="Q33" s="49"/>
      <c r="R33" s="48"/>
      <c r="S33" s="49"/>
      <c r="T33" s="29" t="s">
        <v>67</v>
      </c>
      <c r="U33" s="8">
        <v>0.15</v>
      </c>
      <c r="V33" s="8">
        <v>1.2999999999999999E-2</v>
      </c>
      <c r="W33" s="8">
        <v>20</v>
      </c>
      <c r="X33" s="90">
        <f t="shared" si="2"/>
        <v>3.9E-2</v>
      </c>
      <c r="Y33" s="8">
        <f t="shared" si="0"/>
        <v>1.248</v>
      </c>
      <c r="Z33" s="8"/>
    </row>
    <row r="34" spans="1:27" ht="28.5" customHeight="1" x14ac:dyDescent="0.2">
      <c r="A34" s="13" t="s">
        <v>9</v>
      </c>
      <c r="B34" s="39"/>
      <c r="C34" s="41" t="s">
        <v>81</v>
      </c>
      <c r="D34" s="42" t="s">
        <v>69</v>
      </c>
      <c r="E34" s="43">
        <f>3+1+1+1+2</f>
        <v>8</v>
      </c>
      <c r="F34" s="44"/>
      <c r="G34" s="45"/>
      <c r="H34" s="46"/>
      <c r="I34" s="17"/>
      <c r="J34" s="47"/>
      <c r="K34" s="18"/>
      <c r="L34" s="47"/>
      <c r="M34" s="17"/>
      <c r="N34" s="47"/>
      <c r="O34" s="18"/>
      <c r="P34" s="48"/>
      <c r="Q34" s="49"/>
      <c r="R34" s="48"/>
      <c r="S34" s="49"/>
      <c r="T34" s="29" t="s">
        <v>67</v>
      </c>
      <c r="U34" s="8">
        <v>0.15</v>
      </c>
      <c r="V34" s="8">
        <v>1.2999999999999999E-2</v>
      </c>
      <c r="W34" s="8">
        <v>10</v>
      </c>
      <c r="X34" s="90">
        <f t="shared" si="2"/>
        <v>1.95E-2</v>
      </c>
      <c r="Y34" s="8">
        <f t="shared" si="0"/>
        <v>0.156</v>
      </c>
      <c r="Z34" s="8"/>
    </row>
    <row r="35" spans="1:27" ht="28.5" customHeight="1" x14ac:dyDescent="0.2">
      <c r="A35" s="13" t="s">
        <v>9</v>
      </c>
      <c r="B35" s="39"/>
      <c r="C35" s="41" t="s">
        <v>86</v>
      </c>
      <c r="D35" s="42" t="s">
        <v>69</v>
      </c>
      <c r="E35" s="43">
        <f>6+5+5+5+5</f>
        <v>26</v>
      </c>
      <c r="F35" s="44"/>
      <c r="G35" s="45"/>
      <c r="H35" s="46"/>
      <c r="I35" s="17"/>
      <c r="J35" s="47"/>
      <c r="K35" s="18"/>
      <c r="L35" s="47"/>
      <c r="M35" s="17"/>
      <c r="N35" s="47"/>
      <c r="O35" s="18"/>
      <c r="P35" s="48"/>
      <c r="Q35" s="49"/>
      <c r="R35" s="48"/>
      <c r="S35" s="49"/>
      <c r="T35" s="29" t="s">
        <v>67</v>
      </c>
      <c r="U35" s="8">
        <v>0.15</v>
      </c>
      <c r="V35" s="8">
        <v>1.2999999999999999E-2</v>
      </c>
      <c r="W35" s="8">
        <v>20</v>
      </c>
      <c r="X35" s="90">
        <f t="shared" si="2"/>
        <v>3.9E-2</v>
      </c>
      <c r="Y35" s="8">
        <f t="shared" si="0"/>
        <v>1.014</v>
      </c>
      <c r="Z35" s="8"/>
    </row>
    <row r="36" spans="1:27" ht="28.5" customHeight="1" x14ac:dyDescent="0.2">
      <c r="A36" s="13" t="s">
        <v>9</v>
      </c>
      <c r="B36" s="39"/>
      <c r="C36" s="41" t="s">
        <v>87</v>
      </c>
      <c r="D36" s="42" t="s">
        <v>69</v>
      </c>
      <c r="E36" s="43">
        <f>4+5+5+5+4</f>
        <v>23</v>
      </c>
      <c r="F36" s="44"/>
      <c r="G36" s="45"/>
      <c r="H36" s="46"/>
      <c r="I36" s="17"/>
      <c r="J36" s="47"/>
      <c r="K36" s="18"/>
      <c r="L36" s="47"/>
      <c r="M36" s="17"/>
      <c r="N36" s="47"/>
      <c r="O36" s="18"/>
      <c r="P36" s="48"/>
      <c r="Q36" s="49"/>
      <c r="R36" s="48"/>
      <c r="S36" s="49"/>
      <c r="T36" s="29" t="s">
        <v>67</v>
      </c>
      <c r="U36" s="8">
        <v>0.15</v>
      </c>
      <c r="V36" s="8">
        <v>1.2999999999999999E-2</v>
      </c>
      <c r="W36" s="8">
        <v>16</v>
      </c>
      <c r="X36" s="90">
        <f t="shared" si="2"/>
        <v>3.1199999999999999E-2</v>
      </c>
      <c r="Y36" s="8">
        <f t="shared" si="0"/>
        <v>0.71760000000000002</v>
      </c>
      <c r="Z36" s="8"/>
    </row>
    <row r="37" spans="1:27" ht="28.5" customHeight="1" x14ac:dyDescent="0.2">
      <c r="A37" s="13" t="s">
        <v>9</v>
      </c>
      <c r="B37" s="39"/>
      <c r="C37" s="41" t="s">
        <v>88</v>
      </c>
      <c r="D37" s="42" t="s">
        <v>69</v>
      </c>
      <c r="E37" s="43">
        <f>1+1+1+1+3</f>
        <v>7</v>
      </c>
      <c r="F37" s="44"/>
      <c r="G37" s="45"/>
      <c r="H37" s="46"/>
      <c r="I37" s="17"/>
      <c r="J37" s="47"/>
      <c r="K37" s="18"/>
      <c r="L37" s="47"/>
      <c r="M37" s="17"/>
      <c r="N37" s="47"/>
      <c r="O37" s="18"/>
      <c r="P37" s="48"/>
      <c r="Q37" s="49"/>
      <c r="R37" s="48"/>
      <c r="S37" s="49"/>
      <c r="T37" s="29" t="s">
        <v>67</v>
      </c>
      <c r="U37" s="8">
        <v>0.15</v>
      </c>
      <c r="V37" s="8">
        <v>1.2999999999999999E-2</v>
      </c>
      <c r="W37" s="8">
        <v>10</v>
      </c>
      <c r="X37" s="90">
        <f t="shared" si="2"/>
        <v>1.95E-2</v>
      </c>
      <c r="Y37" s="8">
        <f t="shared" si="0"/>
        <v>0.13650000000000001</v>
      </c>
      <c r="Z37" s="8"/>
    </row>
    <row r="38" spans="1:27" ht="28.5" customHeight="1" x14ac:dyDescent="0.2">
      <c r="A38" s="13" t="s">
        <v>9</v>
      </c>
      <c r="B38" s="39"/>
      <c r="C38" s="41" t="s">
        <v>82</v>
      </c>
      <c r="D38" s="42" t="s">
        <v>69</v>
      </c>
      <c r="E38" s="43">
        <f>6+6+6+8</f>
        <v>26</v>
      </c>
      <c r="F38" s="44"/>
      <c r="G38" s="45"/>
      <c r="H38" s="46"/>
      <c r="I38" s="17"/>
      <c r="J38" s="47"/>
      <c r="K38" s="18"/>
      <c r="L38" s="47"/>
      <c r="M38" s="17"/>
      <c r="N38" s="47"/>
      <c r="O38" s="18"/>
      <c r="P38" s="48"/>
      <c r="Q38" s="49"/>
      <c r="R38" s="48"/>
      <c r="S38" s="49"/>
      <c r="T38" s="29" t="s">
        <v>67</v>
      </c>
      <c r="U38" s="8">
        <v>0.15</v>
      </c>
      <c r="V38" s="8">
        <v>1.2999999999999999E-2</v>
      </c>
      <c r="W38" s="8">
        <v>20</v>
      </c>
      <c r="X38" s="90">
        <f t="shared" si="2"/>
        <v>3.9E-2</v>
      </c>
      <c r="Y38" s="8">
        <f t="shared" si="0"/>
        <v>1.014</v>
      </c>
      <c r="Z38" s="8"/>
      <c r="AA38" s="89"/>
    </row>
    <row r="39" spans="1:27" s="69" customFormat="1" ht="28.5" customHeight="1" x14ac:dyDescent="0.2">
      <c r="A39" s="66" t="s">
        <v>8</v>
      </c>
      <c r="B39" s="33"/>
      <c r="C39" s="24" t="s">
        <v>92</v>
      </c>
      <c r="D39" s="37" t="s">
        <v>69</v>
      </c>
      <c r="E39" s="38">
        <f>E40+E41+E42+E43+E44+E45+E46+E47+E48+E49+E50+E51+E52+E53+E54</f>
        <v>345</v>
      </c>
      <c r="F39" s="25"/>
      <c r="G39" s="34"/>
      <c r="H39" s="32"/>
      <c r="I39" s="26"/>
      <c r="J39" s="67"/>
      <c r="K39" s="28"/>
      <c r="L39" s="67"/>
      <c r="M39" s="26"/>
      <c r="N39" s="67"/>
      <c r="O39" s="28"/>
      <c r="P39" s="27"/>
      <c r="Q39" s="28"/>
      <c r="R39" s="27"/>
      <c r="S39" s="28"/>
      <c r="T39" s="68" t="s">
        <v>68</v>
      </c>
      <c r="U39" s="8"/>
      <c r="V39" s="88"/>
      <c r="W39" s="8"/>
      <c r="X39" s="88"/>
      <c r="Y39" s="91">
        <f>SUM(Y40:Y54)</f>
        <v>11.6</v>
      </c>
      <c r="Z39" s="88" t="s">
        <v>89</v>
      </c>
    </row>
    <row r="40" spans="1:27" ht="28.5" customHeight="1" x14ac:dyDescent="0.2">
      <c r="A40" s="13" t="s">
        <v>9</v>
      </c>
      <c r="B40" s="39"/>
      <c r="C40" s="41" t="s">
        <v>71</v>
      </c>
      <c r="D40" s="42" t="s">
        <v>69</v>
      </c>
      <c r="E40" s="43">
        <f>12+9+9+9+9</f>
        <v>48</v>
      </c>
      <c r="F40" s="44"/>
      <c r="G40" s="45"/>
      <c r="H40" s="46"/>
      <c r="I40" s="17"/>
      <c r="J40" s="47"/>
      <c r="K40" s="18"/>
      <c r="L40" s="47"/>
      <c r="M40" s="17"/>
      <c r="N40" s="47"/>
      <c r="O40" s="18"/>
      <c r="P40" s="48"/>
      <c r="Q40" s="49"/>
      <c r="R40" s="48"/>
      <c r="S40" s="49"/>
      <c r="T40" s="29" t="s">
        <v>67</v>
      </c>
      <c r="U40" s="8">
        <v>0.15</v>
      </c>
      <c r="V40" s="8">
        <v>1.2999999999999999E-2</v>
      </c>
      <c r="W40" s="8">
        <v>16</v>
      </c>
      <c r="X40" s="90">
        <f>W40*V40*U40</f>
        <v>3.1199999999999999E-2</v>
      </c>
      <c r="Y40" s="8">
        <f t="shared" si="0"/>
        <v>1.4976</v>
      </c>
      <c r="Z40" s="8"/>
    </row>
    <row r="41" spans="1:27" ht="28.5" customHeight="1" x14ac:dyDescent="0.2">
      <c r="A41" s="13" t="s">
        <v>9</v>
      </c>
      <c r="B41" s="39"/>
      <c r="C41" s="41" t="s">
        <v>70</v>
      </c>
      <c r="D41" s="42" t="s">
        <v>69</v>
      </c>
      <c r="E41" s="43">
        <f>5+7+7+7+9</f>
        <v>35</v>
      </c>
      <c r="F41" s="44"/>
      <c r="G41" s="45"/>
      <c r="H41" s="46"/>
      <c r="I41" s="17"/>
      <c r="J41" s="47"/>
      <c r="K41" s="18"/>
      <c r="L41" s="47"/>
      <c r="M41" s="17"/>
      <c r="N41" s="47"/>
      <c r="O41" s="18"/>
      <c r="P41" s="48"/>
      <c r="Q41" s="49"/>
      <c r="R41" s="48"/>
      <c r="S41" s="49"/>
      <c r="T41" s="29" t="s">
        <v>67</v>
      </c>
      <c r="U41" s="8">
        <v>0.15</v>
      </c>
      <c r="V41" s="8">
        <v>1.2999999999999999E-2</v>
      </c>
      <c r="W41" s="8">
        <v>20</v>
      </c>
      <c r="X41" s="90">
        <f>W41*V41*U41</f>
        <v>3.9E-2</v>
      </c>
      <c r="Y41" s="8">
        <f t="shared" si="0"/>
        <v>1.365</v>
      </c>
      <c r="Z41" s="8"/>
    </row>
    <row r="42" spans="1:27" ht="28.5" customHeight="1" x14ac:dyDescent="0.2">
      <c r="A42" s="13" t="s">
        <v>9</v>
      </c>
      <c r="B42" s="39"/>
      <c r="C42" s="41" t="s">
        <v>72</v>
      </c>
      <c r="D42" s="42" t="s">
        <v>69</v>
      </c>
      <c r="E42" s="43">
        <f>1+5+5+5+4</f>
        <v>20</v>
      </c>
      <c r="F42" s="44"/>
      <c r="G42" s="45"/>
      <c r="H42" s="46"/>
      <c r="I42" s="17"/>
      <c r="J42" s="47"/>
      <c r="K42" s="18"/>
      <c r="L42" s="47"/>
      <c r="M42" s="17"/>
      <c r="N42" s="47"/>
      <c r="O42" s="18"/>
      <c r="P42" s="48"/>
      <c r="Q42" s="49"/>
      <c r="R42" s="48"/>
      <c r="S42" s="49"/>
      <c r="T42" s="29" t="s">
        <v>67</v>
      </c>
      <c r="U42" s="8">
        <v>0.15</v>
      </c>
      <c r="V42" s="8">
        <v>1.2999999999999999E-2</v>
      </c>
      <c r="W42" s="8">
        <v>10</v>
      </c>
      <c r="X42" s="90">
        <f t="shared" ref="X42:X54" si="3">W42*V42*U42</f>
        <v>1.95E-2</v>
      </c>
      <c r="Y42" s="8">
        <f t="shared" si="0"/>
        <v>0.39</v>
      </c>
      <c r="Z42" s="8"/>
    </row>
    <row r="43" spans="1:27" ht="28.5" customHeight="1" x14ac:dyDescent="0.2">
      <c r="A43" s="13" t="s">
        <v>9</v>
      </c>
      <c r="B43" s="39"/>
      <c r="C43" s="41" t="s">
        <v>73</v>
      </c>
      <c r="D43" s="42" t="s">
        <v>69</v>
      </c>
      <c r="E43" s="43">
        <v>1</v>
      </c>
      <c r="F43" s="44"/>
      <c r="G43" s="45"/>
      <c r="H43" s="46"/>
      <c r="I43" s="17"/>
      <c r="J43" s="47"/>
      <c r="K43" s="18"/>
      <c r="L43" s="47"/>
      <c r="M43" s="17"/>
      <c r="N43" s="47"/>
      <c r="O43" s="18"/>
      <c r="P43" s="48"/>
      <c r="Q43" s="49"/>
      <c r="R43" s="48"/>
      <c r="S43" s="49"/>
      <c r="T43" s="29" t="s">
        <v>67</v>
      </c>
      <c r="U43" s="8">
        <v>0.15</v>
      </c>
      <c r="V43" s="8">
        <v>1.2999999999999999E-2</v>
      </c>
      <c r="W43" s="8">
        <v>10</v>
      </c>
      <c r="X43" s="90">
        <f t="shared" si="3"/>
        <v>1.95E-2</v>
      </c>
      <c r="Y43" s="8">
        <f t="shared" si="0"/>
        <v>1.95E-2</v>
      </c>
      <c r="Z43" s="8"/>
    </row>
    <row r="44" spans="1:27" ht="28.5" customHeight="1" x14ac:dyDescent="0.2">
      <c r="A44" s="13" t="s">
        <v>9</v>
      </c>
      <c r="B44" s="39"/>
      <c r="C44" s="41" t="s">
        <v>74</v>
      </c>
      <c r="D44" s="42" t="s">
        <v>69</v>
      </c>
      <c r="E44" s="43">
        <f>18+9+9+9+7</f>
        <v>52</v>
      </c>
      <c r="F44" s="44"/>
      <c r="G44" s="45"/>
      <c r="H44" s="46"/>
      <c r="I44" s="17"/>
      <c r="J44" s="47"/>
      <c r="K44" s="18"/>
      <c r="L44" s="47"/>
      <c r="M44" s="17"/>
      <c r="N44" s="47"/>
      <c r="O44" s="18"/>
      <c r="P44" s="48"/>
      <c r="Q44" s="49"/>
      <c r="R44" s="48"/>
      <c r="S44" s="49"/>
      <c r="T44" s="29" t="s">
        <v>67</v>
      </c>
      <c r="U44" s="8">
        <v>0.15</v>
      </c>
      <c r="V44" s="8">
        <v>1.2999999999999999E-2</v>
      </c>
      <c r="W44" s="8">
        <v>20</v>
      </c>
      <c r="X44" s="90">
        <f t="shared" si="3"/>
        <v>3.9E-2</v>
      </c>
      <c r="Y44" s="8">
        <f t="shared" si="0"/>
        <v>2.028</v>
      </c>
      <c r="Z44" s="8"/>
    </row>
    <row r="45" spans="1:27" ht="28.5" customHeight="1" x14ac:dyDescent="0.2">
      <c r="A45" s="13" t="s">
        <v>9</v>
      </c>
      <c r="B45" s="39"/>
      <c r="C45" s="41" t="s">
        <v>75</v>
      </c>
      <c r="D45" s="42" t="s">
        <v>69</v>
      </c>
      <c r="E45" s="43">
        <f>3+4+4+4</f>
        <v>15</v>
      </c>
      <c r="F45" s="44"/>
      <c r="G45" s="45"/>
      <c r="H45" s="46"/>
      <c r="I45" s="17"/>
      <c r="J45" s="47"/>
      <c r="K45" s="18"/>
      <c r="L45" s="47"/>
      <c r="M45" s="17"/>
      <c r="N45" s="47"/>
      <c r="O45" s="18"/>
      <c r="P45" s="48"/>
      <c r="Q45" s="49"/>
      <c r="R45" s="48"/>
      <c r="S45" s="49"/>
      <c r="T45" s="29" t="s">
        <v>67</v>
      </c>
      <c r="U45" s="8">
        <v>0.15</v>
      </c>
      <c r="V45" s="8">
        <v>1.2999999999999999E-2</v>
      </c>
      <c r="W45" s="8">
        <v>16</v>
      </c>
      <c r="X45" s="90">
        <f t="shared" si="3"/>
        <v>3.1199999999999999E-2</v>
      </c>
      <c r="Y45" s="8">
        <f t="shared" si="0"/>
        <v>0.46800000000000003</v>
      </c>
      <c r="Z45" s="8"/>
    </row>
    <row r="46" spans="1:27" ht="28.5" customHeight="1" x14ac:dyDescent="0.2">
      <c r="A46" s="13" t="s">
        <v>9</v>
      </c>
      <c r="B46" s="39"/>
      <c r="C46" s="41" t="s">
        <v>76</v>
      </c>
      <c r="D46" s="42" t="s">
        <v>69</v>
      </c>
      <c r="E46" s="43">
        <f>1+3+3+3+3</f>
        <v>13</v>
      </c>
      <c r="F46" s="44"/>
      <c r="G46" s="45"/>
      <c r="H46" s="46"/>
      <c r="I46" s="17"/>
      <c r="J46" s="47"/>
      <c r="K46" s="18"/>
      <c r="L46" s="47"/>
      <c r="M46" s="17"/>
      <c r="N46" s="47"/>
      <c r="O46" s="18"/>
      <c r="P46" s="48"/>
      <c r="Q46" s="49"/>
      <c r="R46" s="48"/>
      <c r="S46" s="49"/>
      <c r="T46" s="29" t="s">
        <v>67</v>
      </c>
      <c r="U46" s="8">
        <v>0.15</v>
      </c>
      <c r="V46" s="8">
        <v>1.2999999999999999E-2</v>
      </c>
      <c r="W46" s="8">
        <v>10</v>
      </c>
      <c r="X46" s="90">
        <f t="shared" si="3"/>
        <v>1.95E-2</v>
      </c>
      <c r="Y46" s="8">
        <f t="shared" si="0"/>
        <v>0.2535</v>
      </c>
      <c r="Z46" s="8"/>
    </row>
    <row r="47" spans="1:27" ht="28.5" customHeight="1" x14ac:dyDescent="0.2">
      <c r="A47" s="13" t="s">
        <v>9</v>
      </c>
      <c r="B47" s="39"/>
      <c r="C47" s="41" t="s">
        <v>78</v>
      </c>
      <c r="D47" s="42" t="s">
        <v>69</v>
      </c>
      <c r="E47" s="43">
        <f>3+3</f>
        <v>6</v>
      </c>
      <c r="F47" s="44"/>
      <c r="G47" s="45"/>
      <c r="H47" s="46"/>
      <c r="I47" s="17"/>
      <c r="J47" s="47"/>
      <c r="K47" s="18"/>
      <c r="L47" s="47"/>
      <c r="M47" s="17"/>
      <c r="N47" s="47"/>
      <c r="O47" s="18"/>
      <c r="P47" s="48"/>
      <c r="Q47" s="49"/>
      <c r="R47" s="48"/>
      <c r="S47" s="49"/>
      <c r="T47" s="29" t="s">
        <v>67</v>
      </c>
      <c r="U47" s="8">
        <v>0.15</v>
      </c>
      <c r="V47" s="8">
        <v>1.2999999999999999E-2</v>
      </c>
      <c r="W47" s="8">
        <v>20</v>
      </c>
      <c r="X47" s="90">
        <f t="shared" si="3"/>
        <v>3.9E-2</v>
      </c>
      <c r="Y47" s="8">
        <f t="shared" si="0"/>
        <v>0.23400000000000001</v>
      </c>
      <c r="Z47" s="8"/>
    </row>
    <row r="48" spans="1:27" ht="28.5" customHeight="1" x14ac:dyDescent="0.2">
      <c r="A48" s="13" t="s">
        <v>9</v>
      </c>
      <c r="B48" s="39"/>
      <c r="C48" s="41" t="s">
        <v>83</v>
      </c>
      <c r="D48" s="42" t="s">
        <v>69</v>
      </c>
      <c r="E48" s="43">
        <f>2+2+2+1</f>
        <v>7</v>
      </c>
      <c r="F48" s="44"/>
      <c r="G48" s="45"/>
      <c r="H48" s="46"/>
      <c r="I48" s="17"/>
      <c r="J48" s="47"/>
      <c r="K48" s="18"/>
      <c r="L48" s="47"/>
      <c r="M48" s="17"/>
      <c r="N48" s="47"/>
      <c r="O48" s="18"/>
      <c r="P48" s="48"/>
      <c r="Q48" s="49"/>
      <c r="R48" s="48"/>
      <c r="S48" s="49"/>
      <c r="T48" s="29" t="s">
        <v>67</v>
      </c>
      <c r="U48" s="8">
        <v>0.15</v>
      </c>
      <c r="V48" s="8">
        <v>1.2999999999999999E-2</v>
      </c>
      <c r="W48" s="8">
        <v>16</v>
      </c>
      <c r="X48" s="90">
        <f t="shared" si="3"/>
        <v>3.1199999999999999E-2</v>
      </c>
      <c r="Y48" s="8">
        <f t="shared" si="0"/>
        <v>0.21840000000000001</v>
      </c>
      <c r="Z48" s="8"/>
    </row>
    <row r="49" spans="1:27" ht="28.5" customHeight="1" x14ac:dyDescent="0.2">
      <c r="A49" s="13" t="s">
        <v>9</v>
      </c>
      <c r="B49" s="39"/>
      <c r="C49" s="41" t="s">
        <v>84</v>
      </c>
      <c r="D49" s="42" t="s">
        <v>69</v>
      </c>
      <c r="E49" s="43">
        <f>1+1+1+1+1</f>
        <v>5</v>
      </c>
      <c r="F49" s="44"/>
      <c r="G49" s="45"/>
      <c r="H49" s="46"/>
      <c r="I49" s="17"/>
      <c r="J49" s="47"/>
      <c r="K49" s="18"/>
      <c r="L49" s="47"/>
      <c r="M49" s="17"/>
      <c r="N49" s="47"/>
      <c r="O49" s="18"/>
      <c r="P49" s="48"/>
      <c r="Q49" s="49"/>
      <c r="R49" s="48"/>
      <c r="S49" s="49"/>
      <c r="T49" s="29" t="s">
        <v>67</v>
      </c>
      <c r="U49" s="8">
        <v>0.15</v>
      </c>
      <c r="V49" s="8">
        <v>1.2999999999999999E-2</v>
      </c>
      <c r="W49" s="8">
        <v>20</v>
      </c>
      <c r="X49" s="90">
        <f t="shared" si="3"/>
        <v>3.9E-2</v>
      </c>
      <c r="Y49" s="8">
        <f t="shared" si="0"/>
        <v>0.19500000000000001</v>
      </c>
      <c r="Z49" s="8"/>
    </row>
    <row r="50" spans="1:27" ht="28.5" customHeight="1" x14ac:dyDescent="0.2">
      <c r="A50" s="13" t="s">
        <v>9</v>
      </c>
      <c r="B50" s="39"/>
      <c r="C50" s="41" t="s">
        <v>85</v>
      </c>
      <c r="D50" s="42" t="s">
        <v>69</v>
      </c>
      <c r="E50" s="43">
        <f>2+2+2+3+4</f>
        <v>13</v>
      </c>
      <c r="F50" s="44"/>
      <c r="G50" s="45"/>
      <c r="H50" s="46"/>
      <c r="I50" s="17"/>
      <c r="J50" s="47"/>
      <c r="K50" s="18"/>
      <c r="L50" s="47"/>
      <c r="M50" s="17"/>
      <c r="N50" s="47"/>
      <c r="O50" s="18"/>
      <c r="P50" s="48"/>
      <c r="Q50" s="49"/>
      <c r="R50" s="48"/>
      <c r="S50" s="49"/>
      <c r="T50" s="29" t="s">
        <v>67</v>
      </c>
      <c r="U50" s="8">
        <v>0.15</v>
      </c>
      <c r="V50" s="8">
        <v>1.2999999999999999E-2</v>
      </c>
      <c r="W50" s="8">
        <v>10</v>
      </c>
      <c r="X50" s="90">
        <f t="shared" si="3"/>
        <v>1.95E-2</v>
      </c>
      <c r="Y50" s="8">
        <f t="shared" si="0"/>
        <v>0.2535</v>
      </c>
      <c r="Z50" s="8"/>
    </row>
    <row r="51" spans="1:27" ht="28.5" customHeight="1" x14ac:dyDescent="0.2">
      <c r="A51" s="13" t="s">
        <v>9</v>
      </c>
      <c r="B51" s="39"/>
      <c r="C51" s="41" t="s">
        <v>86</v>
      </c>
      <c r="D51" s="42" t="s">
        <v>69</v>
      </c>
      <c r="E51" s="43">
        <f>12+12+12+12+11</f>
        <v>59</v>
      </c>
      <c r="F51" s="44"/>
      <c r="G51" s="45"/>
      <c r="H51" s="46"/>
      <c r="I51" s="17"/>
      <c r="J51" s="47"/>
      <c r="K51" s="18"/>
      <c r="L51" s="47"/>
      <c r="M51" s="17"/>
      <c r="N51" s="47"/>
      <c r="O51" s="18"/>
      <c r="P51" s="48"/>
      <c r="Q51" s="49"/>
      <c r="R51" s="48"/>
      <c r="S51" s="49"/>
      <c r="T51" s="29" t="s">
        <v>67</v>
      </c>
      <c r="U51" s="8">
        <v>0.15</v>
      </c>
      <c r="V51" s="8">
        <v>1.2999999999999999E-2</v>
      </c>
      <c r="W51" s="8">
        <v>20</v>
      </c>
      <c r="X51" s="90">
        <f t="shared" si="3"/>
        <v>3.9E-2</v>
      </c>
      <c r="Y51" s="8">
        <f t="shared" si="0"/>
        <v>2.3010000000000002</v>
      </c>
      <c r="Z51" s="8"/>
    </row>
    <row r="52" spans="1:27" ht="28.5" customHeight="1" x14ac:dyDescent="0.2">
      <c r="A52" s="13" t="s">
        <v>9</v>
      </c>
      <c r="B52" s="39"/>
      <c r="C52" s="41" t="s">
        <v>87</v>
      </c>
      <c r="D52" s="42" t="s">
        <v>69</v>
      </c>
      <c r="E52" s="43">
        <f>3+6+6+6+7</f>
        <v>28</v>
      </c>
      <c r="F52" s="44"/>
      <c r="G52" s="45"/>
      <c r="H52" s="46"/>
      <c r="I52" s="17"/>
      <c r="J52" s="47"/>
      <c r="K52" s="18"/>
      <c r="L52" s="47"/>
      <c r="M52" s="17"/>
      <c r="N52" s="47"/>
      <c r="O52" s="18"/>
      <c r="P52" s="48"/>
      <c r="Q52" s="49"/>
      <c r="R52" s="48"/>
      <c r="S52" s="49"/>
      <c r="T52" s="29" t="s">
        <v>67</v>
      </c>
      <c r="U52" s="8">
        <v>0.15</v>
      </c>
      <c r="V52" s="8">
        <v>1.2999999999999999E-2</v>
      </c>
      <c r="W52" s="8">
        <v>16</v>
      </c>
      <c r="X52" s="90">
        <f t="shared" si="3"/>
        <v>3.1199999999999999E-2</v>
      </c>
      <c r="Y52" s="8">
        <f t="shared" si="0"/>
        <v>0.87360000000000004</v>
      </c>
      <c r="Z52" s="8"/>
    </row>
    <row r="53" spans="1:27" ht="28.5" customHeight="1" x14ac:dyDescent="0.2">
      <c r="A53" s="13" t="s">
        <v>9</v>
      </c>
      <c r="B53" s="39"/>
      <c r="C53" s="41" t="s">
        <v>88</v>
      </c>
      <c r="D53" s="42" t="s">
        <v>69</v>
      </c>
      <c r="E53" s="43">
        <f>5+1+1+1+1</f>
        <v>9</v>
      </c>
      <c r="F53" s="44"/>
      <c r="G53" s="45"/>
      <c r="H53" s="46"/>
      <c r="I53" s="17"/>
      <c r="J53" s="47"/>
      <c r="K53" s="18"/>
      <c r="L53" s="47"/>
      <c r="M53" s="17"/>
      <c r="N53" s="47"/>
      <c r="O53" s="18"/>
      <c r="P53" s="48"/>
      <c r="Q53" s="49"/>
      <c r="R53" s="48"/>
      <c r="S53" s="49"/>
      <c r="T53" s="29" t="s">
        <v>67</v>
      </c>
      <c r="U53" s="8">
        <v>0.15</v>
      </c>
      <c r="V53" s="8">
        <v>1.2999999999999999E-2</v>
      </c>
      <c r="W53" s="8">
        <v>10</v>
      </c>
      <c r="X53" s="90">
        <f t="shared" si="3"/>
        <v>1.95E-2</v>
      </c>
      <c r="Y53" s="8">
        <f t="shared" si="0"/>
        <v>0.17549999999999999</v>
      </c>
      <c r="Z53" s="8"/>
    </row>
    <row r="54" spans="1:27" ht="28.5" customHeight="1" x14ac:dyDescent="0.2">
      <c r="A54" s="13" t="s">
        <v>9</v>
      </c>
      <c r="B54" s="39"/>
      <c r="C54" s="41" t="s">
        <v>82</v>
      </c>
      <c r="D54" s="42" t="s">
        <v>69</v>
      </c>
      <c r="E54" s="43">
        <f>7+7+7+13</f>
        <v>34</v>
      </c>
      <c r="F54" s="44"/>
      <c r="G54" s="45"/>
      <c r="H54" s="46"/>
      <c r="I54" s="17"/>
      <c r="J54" s="47"/>
      <c r="K54" s="18"/>
      <c r="L54" s="47"/>
      <c r="M54" s="17"/>
      <c r="N54" s="47"/>
      <c r="O54" s="18"/>
      <c r="P54" s="48"/>
      <c r="Q54" s="49"/>
      <c r="R54" s="48"/>
      <c r="S54" s="49"/>
      <c r="T54" s="29" t="s">
        <v>67</v>
      </c>
      <c r="U54" s="8">
        <v>0.15</v>
      </c>
      <c r="V54" s="8">
        <v>1.2999999999999999E-2</v>
      </c>
      <c r="W54" s="8">
        <v>20</v>
      </c>
      <c r="X54" s="90">
        <f t="shared" si="3"/>
        <v>3.9E-2</v>
      </c>
      <c r="Y54" s="8">
        <f t="shared" si="0"/>
        <v>1.3260000000000001</v>
      </c>
      <c r="Z54" s="8"/>
    </row>
    <row r="55" spans="1:27" s="69" customFormat="1" ht="28.5" customHeight="1" x14ac:dyDescent="0.2">
      <c r="A55" s="66" t="s">
        <v>8</v>
      </c>
      <c r="B55" s="33"/>
      <c r="C55" s="24" t="s">
        <v>93</v>
      </c>
      <c r="D55" s="37" t="s">
        <v>69</v>
      </c>
      <c r="E55" s="38">
        <f>E56+E57+E58+E59+E60+E61+E62+E63+E64+E65+E66+E67+E68+E69</f>
        <v>318</v>
      </c>
      <c r="F55" s="25"/>
      <c r="G55" s="34"/>
      <c r="H55" s="32"/>
      <c r="I55" s="26"/>
      <c r="J55" s="67"/>
      <c r="K55" s="28"/>
      <c r="L55" s="67"/>
      <c r="M55" s="26"/>
      <c r="N55" s="67"/>
      <c r="O55" s="28"/>
      <c r="P55" s="27"/>
      <c r="Q55" s="28"/>
      <c r="R55" s="27"/>
      <c r="S55" s="28"/>
      <c r="T55" s="68" t="s">
        <v>68</v>
      </c>
      <c r="U55" s="8"/>
      <c r="V55" s="88"/>
      <c r="W55" s="8"/>
      <c r="X55" s="88"/>
      <c r="Y55" s="91">
        <f>SUM(Y56:Y69)</f>
        <v>10.82</v>
      </c>
      <c r="Z55" s="88" t="s">
        <v>89</v>
      </c>
      <c r="AA55" s="89"/>
    </row>
    <row r="56" spans="1:27" ht="28.5" customHeight="1" x14ac:dyDescent="0.2">
      <c r="A56" s="13" t="s">
        <v>9</v>
      </c>
      <c r="B56" s="39"/>
      <c r="C56" s="41" t="s">
        <v>71</v>
      </c>
      <c r="D56" s="42" t="s">
        <v>69</v>
      </c>
      <c r="E56" s="43">
        <f>5+7+7+7+9</f>
        <v>35</v>
      </c>
      <c r="F56" s="44"/>
      <c r="G56" s="45"/>
      <c r="H56" s="46"/>
      <c r="I56" s="17"/>
      <c r="J56" s="47"/>
      <c r="K56" s="18"/>
      <c r="L56" s="47"/>
      <c r="M56" s="17"/>
      <c r="N56" s="47"/>
      <c r="O56" s="18"/>
      <c r="P56" s="48"/>
      <c r="Q56" s="49"/>
      <c r="R56" s="48"/>
      <c r="S56" s="49"/>
      <c r="T56" s="29" t="s">
        <v>67</v>
      </c>
      <c r="U56" s="8">
        <v>0.15</v>
      </c>
      <c r="V56" s="8">
        <v>1.2999999999999999E-2</v>
      </c>
      <c r="W56" s="8">
        <v>16</v>
      </c>
      <c r="X56" s="90">
        <f>W56*V56*U56</f>
        <v>3.1199999999999999E-2</v>
      </c>
      <c r="Y56" s="8">
        <f t="shared" si="0"/>
        <v>1.0920000000000001</v>
      </c>
      <c r="Z56" s="8"/>
      <c r="AA56" s="89"/>
    </row>
    <row r="57" spans="1:27" ht="28.5" customHeight="1" x14ac:dyDescent="0.2">
      <c r="A57" s="13" t="s">
        <v>9</v>
      </c>
      <c r="B57" s="39"/>
      <c r="C57" s="41" t="s">
        <v>70</v>
      </c>
      <c r="D57" s="42" t="s">
        <v>69</v>
      </c>
      <c r="E57" s="43">
        <f>11+9+9+9+7</f>
        <v>45</v>
      </c>
      <c r="F57" s="44"/>
      <c r="G57" s="45"/>
      <c r="H57" s="46"/>
      <c r="I57" s="17"/>
      <c r="J57" s="47"/>
      <c r="K57" s="18"/>
      <c r="L57" s="47"/>
      <c r="M57" s="17"/>
      <c r="N57" s="47"/>
      <c r="O57" s="18"/>
      <c r="P57" s="48"/>
      <c r="Q57" s="49"/>
      <c r="R57" s="48"/>
      <c r="S57" s="49"/>
      <c r="T57" s="29" t="s">
        <v>67</v>
      </c>
      <c r="U57" s="8">
        <v>0.15</v>
      </c>
      <c r="V57" s="8">
        <v>1.2999999999999999E-2</v>
      </c>
      <c r="W57" s="8">
        <v>20</v>
      </c>
      <c r="X57" s="90">
        <f>W57*V57*U57</f>
        <v>3.9E-2</v>
      </c>
      <c r="Y57" s="8">
        <f>E57*X57</f>
        <v>1.7549999999999999</v>
      </c>
      <c r="Z57" s="8"/>
      <c r="AA57" s="89"/>
    </row>
    <row r="58" spans="1:27" ht="28.5" customHeight="1" x14ac:dyDescent="0.2">
      <c r="A58" s="13" t="s">
        <v>9</v>
      </c>
      <c r="B58" s="39"/>
      <c r="C58" s="41" t="s">
        <v>72</v>
      </c>
      <c r="D58" s="42" t="s">
        <v>69</v>
      </c>
      <c r="E58" s="43">
        <f>4+4+4+4+3</f>
        <v>19</v>
      </c>
      <c r="F58" s="44"/>
      <c r="G58" s="45"/>
      <c r="H58" s="46"/>
      <c r="I58" s="17"/>
      <c r="J58" s="47"/>
      <c r="K58" s="18"/>
      <c r="L58" s="47"/>
      <c r="M58" s="17"/>
      <c r="N58" s="47"/>
      <c r="O58" s="18"/>
      <c r="P58" s="48"/>
      <c r="Q58" s="49"/>
      <c r="R58" s="48"/>
      <c r="S58" s="49"/>
      <c r="T58" s="29" t="s">
        <v>67</v>
      </c>
      <c r="U58" s="8">
        <v>0.15</v>
      </c>
      <c r="V58" s="8">
        <v>1.2999999999999999E-2</v>
      </c>
      <c r="W58" s="8">
        <v>10</v>
      </c>
      <c r="X58" s="90">
        <f t="shared" ref="X58:X69" si="4">W58*V58*U58</f>
        <v>1.95E-2</v>
      </c>
      <c r="Y58" s="8">
        <f>E58*X58</f>
        <v>0.3705</v>
      </c>
      <c r="Z58" s="8"/>
      <c r="AA58" s="89"/>
    </row>
    <row r="59" spans="1:27" ht="28.5" customHeight="1" x14ac:dyDescent="0.2">
      <c r="A59" s="13" t="s">
        <v>9</v>
      </c>
      <c r="B59" s="39"/>
      <c r="C59" s="41" t="s">
        <v>73</v>
      </c>
      <c r="D59" s="42" t="s">
        <v>69</v>
      </c>
      <c r="E59" s="43">
        <f>1</f>
        <v>1</v>
      </c>
      <c r="F59" s="44"/>
      <c r="G59" s="45"/>
      <c r="H59" s="46"/>
      <c r="I59" s="17"/>
      <c r="J59" s="47"/>
      <c r="K59" s="18"/>
      <c r="L59" s="47"/>
      <c r="M59" s="17"/>
      <c r="N59" s="47"/>
      <c r="O59" s="18"/>
      <c r="P59" s="48"/>
      <c r="Q59" s="49"/>
      <c r="R59" s="48"/>
      <c r="S59" s="49"/>
      <c r="T59" s="29" t="s">
        <v>67</v>
      </c>
      <c r="U59" s="8">
        <v>0.15</v>
      </c>
      <c r="V59" s="8">
        <v>1.2999999999999999E-2</v>
      </c>
      <c r="W59" s="8">
        <v>10</v>
      </c>
      <c r="X59" s="90">
        <f t="shared" si="4"/>
        <v>1.95E-2</v>
      </c>
      <c r="Y59" s="8">
        <f t="shared" si="0"/>
        <v>1.95E-2</v>
      </c>
      <c r="Z59" s="8"/>
    </row>
    <row r="60" spans="1:27" ht="28.5" customHeight="1" x14ac:dyDescent="0.2">
      <c r="A60" s="13" t="s">
        <v>9</v>
      </c>
      <c r="B60" s="39"/>
      <c r="C60" s="41" t="s">
        <v>74</v>
      </c>
      <c r="D60" s="42" t="s">
        <v>69</v>
      </c>
      <c r="E60" s="43">
        <f>18+14+6+6+7</f>
        <v>51</v>
      </c>
      <c r="F60" s="44"/>
      <c r="G60" s="45"/>
      <c r="H60" s="46"/>
      <c r="I60" s="17"/>
      <c r="J60" s="47"/>
      <c r="K60" s="18"/>
      <c r="L60" s="47"/>
      <c r="M60" s="17"/>
      <c r="N60" s="47"/>
      <c r="O60" s="18"/>
      <c r="P60" s="48"/>
      <c r="Q60" s="49"/>
      <c r="R60" s="48"/>
      <c r="S60" s="49"/>
      <c r="T60" s="29" t="s">
        <v>67</v>
      </c>
      <c r="U60" s="8">
        <v>0.15</v>
      </c>
      <c r="V60" s="8">
        <v>1.2999999999999999E-2</v>
      </c>
      <c r="W60" s="8">
        <v>20</v>
      </c>
      <c r="X60" s="90">
        <f t="shared" si="4"/>
        <v>3.9E-2</v>
      </c>
      <c r="Y60" s="8">
        <f t="shared" si="0"/>
        <v>1.9890000000000001</v>
      </c>
      <c r="Z60" s="8"/>
      <c r="AA60" s="89"/>
    </row>
    <row r="61" spans="1:27" ht="28.5" customHeight="1" x14ac:dyDescent="0.2">
      <c r="A61" s="13" t="s">
        <v>9</v>
      </c>
      <c r="B61" s="39"/>
      <c r="C61" s="41" t="s">
        <v>75</v>
      </c>
      <c r="D61" s="42" t="s">
        <v>69</v>
      </c>
      <c r="E61" s="43">
        <f>4+4+4+5</f>
        <v>17</v>
      </c>
      <c r="F61" s="44"/>
      <c r="G61" s="45"/>
      <c r="H61" s="46"/>
      <c r="I61" s="17"/>
      <c r="J61" s="47"/>
      <c r="K61" s="18"/>
      <c r="L61" s="47"/>
      <c r="M61" s="17"/>
      <c r="N61" s="47"/>
      <c r="O61" s="18"/>
      <c r="P61" s="48"/>
      <c r="Q61" s="49"/>
      <c r="R61" s="48"/>
      <c r="S61" s="49"/>
      <c r="T61" s="29" t="s">
        <v>67</v>
      </c>
      <c r="U61" s="8">
        <v>0.15</v>
      </c>
      <c r="V61" s="8">
        <v>1.2999999999999999E-2</v>
      </c>
      <c r="W61" s="8">
        <v>16</v>
      </c>
      <c r="X61" s="90">
        <f t="shared" si="4"/>
        <v>3.1199999999999999E-2</v>
      </c>
      <c r="Y61" s="8">
        <f t="shared" si="0"/>
        <v>0.53039999999999998</v>
      </c>
      <c r="Z61" s="8"/>
      <c r="AA61" s="89"/>
    </row>
    <row r="62" spans="1:27" ht="28.5" customHeight="1" x14ac:dyDescent="0.2">
      <c r="A62" s="13" t="s">
        <v>9</v>
      </c>
      <c r="B62" s="39"/>
      <c r="C62" s="41" t="s">
        <v>76</v>
      </c>
      <c r="D62" s="42" t="s">
        <v>69</v>
      </c>
      <c r="E62" s="43">
        <f>3+3+3+3+4</f>
        <v>16</v>
      </c>
      <c r="F62" s="44"/>
      <c r="G62" s="45"/>
      <c r="H62" s="46"/>
      <c r="I62" s="17"/>
      <c r="J62" s="47"/>
      <c r="K62" s="18"/>
      <c r="L62" s="47"/>
      <c r="M62" s="17"/>
      <c r="N62" s="47"/>
      <c r="O62" s="18"/>
      <c r="P62" s="48"/>
      <c r="Q62" s="49"/>
      <c r="R62" s="48"/>
      <c r="S62" s="49"/>
      <c r="T62" s="29" t="s">
        <v>67</v>
      </c>
      <c r="U62" s="8">
        <v>0.15</v>
      </c>
      <c r="V62" s="8">
        <v>1.2999999999999999E-2</v>
      </c>
      <c r="W62" s="8">
        <v>10</v>
      </c>
      <c r="X62" s="90">
        <f t="shared" si="4"/>
        <v>1.95E-2</v>
      </c>
      <c r="Y62" s="8">
        <f t="shared" si="0"/>
        <v>0.312</v>
      </c>
      <c r="Z62" s="8"/>
      <c r="AA62" s="89"/>
    </row>
    <row r="63" spans="1:27" ht="28.5" customHeight="1" x14ac:dyDescent="0.2">
      <c r="A63" s="13" t="s">
        <v>9</v>
      </c>
      <c r="B63" s="39"/>
      <c r="C63" s="41" t="s">
        <v>78</v>
      </c>
      <c r="D63" s="42" t="s">
        <v>69</v>
      </c>
      <c r="E63" s="43">
        <f>3+3</f>
        <v>6</v>
      </c>
      <c r="F63" s="44"/>
      <c r="G63" s="45"/>
      <c r="H63" s="46"/>
      <c r="I63" s="17"/>
      <c r="J63" s="47"/>
      <c r="K63" s="18"/>
      <c r="L63" s="47"/>
      <c r="M63" s="17"/>
      <c r="N63" s="47"/>
      <c r="O63" s="18"/>
      <c r="P63" s="48"/>
      <c r="Q63" s="49"/>
      <c r="R63" s="48"/>
      <c r="S63" s="49"/>
      <c r="T63" s="29" t="s">
        <v>67</v>
      </c>
      <c r="U63" s="8">
        <v>0.15</v>
      </c>
      <c r="V63" s="8">
        <v>1.2999999999999999E-2</v>
      </c>
      <c r="W63" s="8">
        <v>20</v>
      </c>
      <c r="X63" s="90">
        <f t="shared" si="4"/>
        <v>3.9E-2</v>
      </c>
      <c r="Y63" s="8">
        <f t="shared" si="0"/>
        <v>0.23400000000000001</v>
      </c>
      <c r="Z63" s="8"/>
    </row>
    <row r="64" spans="1:27" ht="28.5" customHeight="1" x14ac:dyDescent="0.2">
      <c r="A64" s="13" t="s">
        <v>9</v>
      </c>
      <c r="B64" s="39"/>
      <c r="C64" s="41" t="s">
        <v>83</v>
      </c>
      <c r="D64" s="42" t="s">
        <v>69</v>
      </c>
      <c r="E64" s="43">
        <f>6+6+6+6+6</f>
        <v>30</v>
      </c>
      <c r="F64" s="44"/>
      <c r="G64" s="45"/>
      <c r="H64" s="46"/>
      <c r="I64" s="17"/>
      <c r="J64" s="47"/>
      <c r="K64" s="18"/>
      <c r="L64" s="47"/>
      <c r="M64" s="17"/>
      <c r="N64" s="47"/>
      <c r="O64" s="18"/>
      <c r="P64" s="48"/>
      <c r="Q64" s="49"/>
      <c r="R64" s="48"/>
      <c r="S64" s="49"/>
      <c r="T64" s="29" t="s">
        <v>67</v>
      </c>
      <c r="U64" s="8">
        <v>0.15</v>
      </c>
      <c r="V64" s="8">
        <v>1.2999999999999999E-2</v>
      </c>
      <c r="W64" s="8">
        <v>16</v>
      </c>
      <c r="X64" s="90">
        <f t="shared" si="4"/>
        <v>3.1199999999999999E-2</v>
      </c>
      <c r="Y64" s="8">
        <f t="shared" si="0"/>
        <v>0.93600000000000005</v>
      </c>
      <c r="Z64" s="8"/>
    </row>
    <row r="65" spans="1:27" ht="28.5" customHeight="1" x14ac:dyDescent="0.2">
      <c r="A65" s="13" t="s">
        <v>9</v>
      </c>
      <c r="B65" s="39"/>
      <c r="C65" s="41" t="s">
        <v>84</v>
      </c>
      <c r="D65" s="42" t="s">
        <v>69</v>
      </c>
      <c r="E65" s="43">
        <f>2+2+2+2+2</f>
        <v>10</v>
      </c>
      <c r="F65" s="44"/>
      <c r="G65" s="45"/>
      <c r="H65" s="46"/>
      <c r="I65" s="17"/>
      <c r="J65" s="47"/>
      <c r="K65" s="18"/>
      <c r="L65" s="47"/>
      <c r="M65" s="17"/>
      <c r="N65" s="47"/>
      <c r="O65" s="18"/>
      <c r="P65" s="48"/>
      <c r="Q65" s="49"/>
      <c r="R65" s="48"/>
      <c r="S65" s="49"/>
      <c r="T65" s="29" t="s">
        <v>67</v>
      </c>
      <c r="U65" s="8">
        <v>0.15</v>
      </c>
      <c r="V65" s="8">
        <v>1.2999999999999999E-2</v>
      </c>
      <c r="W65" s="8">
        <v>20</v>
      </c>
      <c r="X65" s="90">
        <f t="shared" si="4"/>
        <v>3.9E-2</v>
      </c>
      <c r="Y65" s="8">
        <f t="shared" si="0"/>
        <v>0.39</v>
      </c>
      <c r="Z65" s="8"/>
    </row>
    <row r="66" spans="1:27" ht="28.5" customHeight="1" x14ac:dyDescent="0.2">
      <c r="A66" s="13" t="s">
        <v>9</v>
      </c>
      <c r="B66" s="39"/>
      <c r="C66" s="41" t="s">
        <v>86</v>
      </c>
      <c r="D66" s="42" t="s">
        <v>69</v>
      </c>
      <c r="E66" s="43">
        <f>8+9+9+9+8</f>
        <v>43</v>
      </c>
      <c r="F66" s="44"/>
      <c r="G66" s="45"/>
      <c r="H66" s="46"/>
      <c r="I66" s="17"/>
      <c r="J66" s="47"/>
      <c r="K66" s="18"/>
      <c r="L66" s="47"/>
      <c r="M66" s="17"/>
      <c r="N66" s="47"/>
      <c r="O66" s="18"/>
      <c r="P66" s="48"/>
      <c r="Q66" s="49"/>
      <c r="R66" s="48"/>
      <c r="S66" s="49"/>
      <c r="T66" s="29" t="s">
        <v>67</v>
      </c>
      <c r="U66" s="8">
        <v>0.15</v>
      </c>
      <c r="V66" s="8">
        <v>1.2999999999999999E-2</v>
      </c>
      <c r="W66" s="8">
        <v>20</v>
      </c>
      <c r="X66" s="90">
        <f t="shared" si="4"/>
        <v>3.9E-2</v>
      </c>
      <c r="Y66" s="8">
        <f t="shared" si="0"/>
        <v>1.677</v>
      </c>
      <c r="Z66" s="8"/>
    </row>
    <row r="67" spans="1:27" ht="28.5" customHeight="1" x14ac:dyDescent="0.2">
      <c r="A67" s="13" t="s">
        <v>9</v>
      </c>
      <c r="B67" s="39"/>
      <c r="C67" s="41" t="s">
        <v>87</v>
      </c>
      <c r="D67" s="42" t="s">
        <v>69</v>
      </c>
      <c r="E67" s="43">
        <f>3+3+3+3+4</f>
        <v>16</v>
      </c>
      <c r="F67" s="44"/>
      <c r="G67" s="45"/>
      <c r="H67" s="46"/>
      <c r="I67" s="17"/>
      <c r="J67" s="47"/>
      <c r="K67" s="18"/>
      <c r="L67" s="47"/>
      <c r="M67" s="17"/>
      <c r="N67" s="47"/>
      <c r="O67" s="18"/>
      <c r="P67" s="48"/>
      <c r="Q67" s="49"/>
      <c r="R67" s="48"/>
      <c r="S67" s="49"/>
      <c r="T67" s="29" t="s">
        <v>67</v>
      </c>
      <c r="U67" s="8">
        <v>0.15</v>
      </c>
      <c r="V67" s="8">
        <v>1.2999999999999999E-2</v>
      </c>
      <c r="W67" s="8">
        <v>16</v>
      </c>
      <c r="X67" s="90">
        <f t="shared" si="4"/>
        <v>3.1199999999999999E-2</v>
      </c>
      <c r="Y67" s="8">
        <f t="shared" si="0"/>
        <v>0.49919999999999998</v>
      </c>
      <c r="Z67" s="8"/>
      <c r="AA67" s="89"/>
    </row>
    <row r="68" spans="1:27" ht="28.5" customHeight="1" x14ac:dyDescent="0.2">
      <c r="A68" s="13" t="s">
        <v>9</v>
      </c>
      <c r="B68" s="39"/>
      <c r="C68" s="41" t="s">
        <v>88</v>
      </c>
      <c r="D68" s="42" t="s">
        <v>69</v>
      </c>
      <c r="E68" s="43">
        <f>1+1+1+1+2</f>
        <v>6</v>
      </c>
      <c r="F68" s="44"/>
      <c r="G68" s="45"/>
      <c r="H68" s="46"/>
      <c r="I68" s="17"/>
      <c r="J68" s="47"/>
      <c r="K68" s="18"/>
      <c r="L68" s="47"/>
      <c r="M68" s="17"/>
      <c r="N68" s="47"/>
      <c r="O68" s="18"/>
      <c r="P68" s="48"/>
      <c r="Q68" s="49"/>
      <c r="R68" s="48"/>
      <c r="S68" s="49"/>
      <c r="T68" s="29" t="s">
        <v>67</v>
      </c>
      <c r="U68" s="8">
        <v>0.15</v>
      </c>
      <c r="V68" s="8">
        <v>1.2999999999999999E-2</v>
      </c>
      <c r="W68" s="8">
        <v>10</v>
      </c>
      <c r="X68" s="90">
        <f t="shared" si="4"/>
        <v>1.95E-2</v>
      </c>
      <c r="Y68" s="8">
        <f t="shared" si="0"/>
        <v>0.11700000000000001</v>
      </c>
      <c r="Z68" s="8"/>
    </row>
    <row r="69" spans="1:27" ht="28.5" customHeight="1" x14ac:dyDescent="0.2">
      <c r="A69" s="13" t="s">
        <v>9</v>
      </c>
      <c r="B69" s="39"/>
      <c r="C69" s="41" t="s">
        <v>82</v>
      </c>
      <c r="D69" s="42" t="s">
        <v>69</v>
      </c>
      <c r="E69" s="43">
        <f>8+8+7</f>
        <v>23</v>
      </c>
      <c r="F69" s="44"/>
      <c r="G69" s="45"/>
      <c r="H69" s="46"/>
      <c r="I69" s="17"/>
      <c r="J69" s="47"/>
      <c r="K69" s="18"/>
      <c r="L69" s="47"/>
      <c r="M69" s="17"/>
      <c r="N69" s="47"/>
      <c r="O69" s="18"/>
      <c r="P69" s="48"/>
      <c r="Q69" s="49"/>
      <c r="R69" s="48"/>
      <c r="S69" s="49"/>
      <c r="T69" s="29" t="s">
        <v>67</v>
      </c>
      <c r="U69" s="8">
        <v>0.15</v>
      </c>
      <c r="V69" s="8">
        <v>1.2999999999999999E-2</v>
      </c>
      <c r="W69" s="8">
        <v>20</v>
      </c>
      <c r="X69" s="90">
        <f t="shared" si="4"/>
        <v>3.9E-2</v>
      </c>
      <c r="Y69" s="8">
        <f t="shared" si="0"/>
        <v>0.89700000000000002</v>
      </c>
      <c r="Z69" s="8"/>
      <c r="AA69" s="89"/>
    </row>
  </sheetData>
  <autoFilter ref="A5:S69" xr:uid="{00000000-0009-0000-0000-000000000000}"/>
  <mergeCells count="22">
    <mergeCell ref="R2:S2"/>
    <mergeCell ref="B1:G1"/>
    <mergeCell ref="B2:B4"/>
    <mergeCell ref="C2:C4"/>
    <mergeCell ref="D2:D4"/>
    <mergeCell ref="E2:G2"/>
    <mergeCell ref="E3:E4"/>
    <mergeCell ref="F3:F4"/>
    <mergeCell ref="H2:I2"/>
    <mergeCell ref="J2:K2"/>
    <mergeCell ref="L2:M2"/>
    <mergeCell ref="N2:O2"/>
    <mergeCell ref="P2:Q2"/>
    <mergeCell ref="Q3:Q4"/>
    <mergeCell ref="R3:R4"/>
    <mergeCell ref="S3:S4"/>
    <mergeCell ref="P3:P4"/>
    <mergeCell ref="G3:G4"/>
    <mergeCell ref="H3:I3"/>
    <mergeCell ref="J3:K3"/>
    <mergeCell ref="L3:M3"/>
    <mergeCell ref="N3:O3"/>
  </mergeCells>
  <printOptions horizontalCentered="1"/>
  <pageMargins left="0.19685039370078741" right="0.19685039370078741" top="0.78740157480314965" bottom="0.39370078740157483" header="0.31496062992125984" footer="0.31496062992125984"/>
  <pageSetup paperSize="9" fitToHeight="500" orientation="landscape" r:id="rId1"/>
  <headerFooter>
    <oddFooter>&amp;R&amp;P</oddFooter>
  </headerFooter>
  <ignoredErrors>
    <ignoredError sqref="Y20 Y39 Y55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AA2FE-C79D-4B8B-B23F-677A3853A014}">
  <sheetPr>
    <pageSetUpPr fitToPage="1"/>
  </sheetPr>
  <dimension ref="A1:B51"/>
  <sheetViews>
    <sheetView workbookViewId="0">
      <selection activeCell="A51" sqref="A51"/>
    </sheetView>
  </sheetViews>
  <sheetFormatPr defaultColWidth="9.140625" defaultRowHeight="15" x14ac:dyDescent="0.25"/>
  <cols>
    <col min="1" max="1" width="58.85546875" style="20" customWidth="1"/>
    <col min="2" max="2" width="9.140625" style="21" customWidth="1"/>
    <col min="3" max="16384" width="9.140625" style="21"/>
  </cols>
  <sheetData>
    <row r="1" spans="1:2" s="20" customFormat="1" x14ac:dyDescent="0.25">
      <c r="A1" s="135" t="s">
        <v>18</v>
      </c>
      <c r="B1" s="19"/>
    </row>
    <row r="2" spans="1:2" x14ac:dyDescent="0.25">
      <c r="A2" s="135"/>
    </row>
    <row r="3" spans="1:2" x14ac:dyDescent="0.25">
      <c r="A3" s="22" t="s">
        <v>19</v>
      </c>
    </row>
    <row r="4" spans="1:2" x14ac:dyDescent="0.25">
      <c r="A4" s="22" t="s">
        <v>20</v>
      </c>
    </row>
    <row r="5" spans="1:2" x14ac:dyDescent="0.25">
      <c r="A5" s="22" t="s">
        <v>21</v>
      </c>
    </row>
    <row r="6" spans="1:2" x14ac:dyDescent="0.25">
      <c r="A6" s="22" t="s">
        <v>22</v>
      </c>
    </row>
    <row r="7" spans="1:2" x14ac:dyDescent="0.25">
      <c r="A7" s="22" t="s">
        <v>23</v>
      </c>
    </row>
    <row r="8" spans="1:2" x14ac:dyDescent="0.25">
      <c r="A8" s="22" t="s">
        <v>24</v>
      </c>
    </row>
    <row r="9" spans="1:2" x14ac:dyDescent="0.25">
      <c r="A9" s="22" t="s">
        <v>25</v>
      </c>
    </row>
    <row r="10" spans="1:2" x14ac:dyDescent="0.25">
      <c r="A10" s="22" t="s">
        <v>26</v>
      </c>
    </row>
    <row r="11" spans="1:2" ht="30" x14ac:dyDescent="0.25">
      <c r="A11" s="22" t="s">
        <v>27</v>
      </c>
    </row>
    <row r="12" spans="1:2" x14ac:dyDescent="0.25">
      <c r="A12" s="22" t="s">
        <v>28</v>
      </c>
    </row>
    <row r="13" spans="1:2" x14ac:dyDescent="0.25">
      <c r="A13" s="22" t="s">
        <v>29</v>
      </c>
    </row>
    <row r="14" spans="1:2" x14ac:dyDescent="0.25">
      <c r="A14" s="22" t="s">
        <v>30</v>
      </c>
    </row>
    <row r="15" spans="1:2" x14ac:dyDescent="0.25">
      <c r="A15" s="22" t="s">
        <v>31</v>
      </c>
    </row>
    <row r="16" spans="1:2" x14ac:dyDescent="0.25">
      <c r="A16" s="22" t="s">
        <v>32</v>
      </c>
    </row>
    <row r="17" spans="1:1" x14ac:dyDescent="0.25">
      <c r="A17" s="22" t="s">
        <v>33</v>
      </c>
    </row>
    <row r="18" spans="1:1" x14ac:dyDescent="0.25">
      <c r="A18" s="22" t="s">
        <v>34</v>
      </c>
    </row>
    <row r="19" spans="1:1" x14ac:dyDescent="0.25">
      <c r="A19" s="22" t="s">
        <v>35</v>
      </c>
    </row>
    <row r="20" spans="1:1" x14ac:dyDescent="0.25">
      <c r="A20" s="22" t="s">
        <v>36</v>
      </c>
    </row>
    <row r="21" spans="1:1" x14ac:dyDescent="0.25">
      <c r="A21" s="22" t="s">
        <v>37</v>
      </c>
    </row>
    <row r="22" spans="1:1" x14ac:dyDescent="0.25">
      <c r="A22" s="22" t="s">
        <v>38</v>
      </c>
    </row>
    <row r="23" spans="1:1" x14ac:dyDescent="0.25">
      <c r="A23" s="22" t="s">
        <v>39</v>
      </c>
    </row>
    <row r="24" spans="1:1" x14ac:dyDescent="0.25">
      <c r="A24" s="22" t="s">
        <v>40</v>
      </c>
    </row>
    <row r="25" spans="1:1" x14ac:dyDescent="0.25">
      <c r="A25" s="22" t="s">
        <v>41</v>
      </c>
    </row>
    <row r="26" spans="1:1" x14ac:dyDescent="0.25">
      <c r="A26" s="22" t="s">
        <v>42</v>
      </c>
    </row>
    <row r="27" spans="1:1" x14ac:dyDescent="0.25">
      <c r="A27" s="22" t="s">
        <v>43</v>
      </c>
    </row>
    <row r="28" spans="1:1" x14ac:dyDescent="0.25">
      <c r="A28" s="22" t="s">
        <v>44</v>
      </c>
    </row>
    <row r="29" spans="1:1" x14ac:dyDescent="0.25">
      <c r="A29" s="22" t="s">
        <v>45</v>
      </c>
    </row>
    <row r="30" spans="1:1" x14ac:dyDescent="0.25">
      <c r="A30" s="22" t="s">
        <v>46</v>
      </c>
    </row>
    <row r="31" spans="1:1" x14ac:dyDescent="0.25">
      <c r="A31" s="22" t="s">
        <v>47</v>
      </c>
    </row>
    <row r="32" spans="1:1" x14ac:dyDescent="0.25">
      <c r="A32" s="22" t="s">
        <v>48</v>
      </c>
    </row>
    <row r="33" spans="1:1" x14ac:dyDescent="0.25">
      <c r="A33" s="22" t="s">
        <v>49</v>
      </c>
    </row>
    <row r="34" spans="1:1" x14ac:dyDescent="0.25">
      <c r="A34" s="22" t="s">
        <v>50</v>
      </c>
    </row>
    <row r="35" spans="1:1" x14ac:dyDescent="0.25">
      <c r="A35" s="22" t="s">
        <v>51</v>
      </c>
    </row>
    <row r="36" spans="1:1" x14ac:dyDescent="0.25">
      <c r="A36" s="22" t="s">
        <v>52</v>
      </c>
    </row>
    <row r="37" spans="1:1" x14ac:dyDescent="0.25">
      <c r="A37" s="22" t="s">
        <v>53</v>
      </c>
    </row>
    <row r="38" spans="1:1" x14ac:dyDescent="0.25">
      <c r="A38" s="22" t="s">
        <v>46</v>
      </c>
    </row>
    <row r="39" spans="1:1" x14ac:dyDescent="0.25">
      <c r="A39" s="22" t="s">
        <v>54</v>
      </c>
    </row>
    <row r="40" spans="1:1" x14ac:dyDescent="0.25">
      <c r="A40" s="22" t="s">
        <v>49</v>
      </c>
    </row>
    <row r="41" spans="1:1" x14ac:dyDescent="0.25">
      <c r="A41" s="22" t="s">
        <v>50</v>
      </c>
    </row>
    <row r="42" spans="1:1" x14ac:dyDescent="0.25">
      <c r="A42" s="22" t="s">
        <v>51</v>
      </c>
    </row>
    <row r="43" spans="1:1" x14ac:dyDescent="0.25">
      <c r="A43" s="22" t="s">
        <v>55</v>
      </c>
    </row>
    <row r="44" spans="1:1" x14ac:dyDescent="0.25">
      <c r="A44" s="22" t="s">
        <v>56</v>
      </c>
    </row>
    <row r="45" spans="1:1" x14ac:dyDescent="0.25">
      <c r="A45" s="22" t="s">
        <v>57</v>
      </c>
    </row>
    <row r="46" spans="1:1" x14ac:dyDescent="0.25">
      <c r="A46" s="22" t="s">
        <v>58</v>
      </c>
    </row>
    <row r="47" spans="1:1" x14ac:dyDescent="0.25">
      <c r="A47" s="22" t="s">
        <v>59</v>
      </c>
    </row>
    <row r="48" spans="1:1" x14ac:dyDescent="0.25">
      <c r="A48" s="22" t="s">
        <v>60</v>
      </c>
    </row>
    <row r="49" spans="1:1" x14ac:dyDescent="0.25">
      <c r="A49" s="22" t="s">
        <v>61</v>
      </c>
    </row>
    <row r="50" spans="1:1" x14ac:dyDescent="0.25">
      <c r="A50" s="22" t="s">
        <v>66</v>
      </c>
    </row>
    <row r="51" spans="1:1" x14ac:dyDescent="0.25">
      <c r="A51" s="22" t="s">
        <v>62</v>
      </c>
    </row>
  </sheetData>
  <mergeCells count="1">
    <mergeCell ref="A1:A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ВОР</vt:lpstr>
      <vt:lpstr>подсчет</vt:lpstr>
      <vt:lpstr>для работ</vt:lpstr>
      <vt:lpstr>ВОР!Заголовки_для_печати</vt:lpstr>
      <vt:lpstr>подсчет!Заголовки_для_печати</vt:lpstr>
      <vt:lpstr>ВОР!Область_печати</vt:lpstr>
      <vt:lpstr>подсчет!Область_печати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Ходько Максим Дмитриевич</cp:lastModifiedBy>
  <cp:lastPrinted>2026-01-20T09:26:10Z</cp:lastPrinted>
  <dcterms:created xsi:type="dcterms:W3CDTF">1996-10-08T23:32:33Z</dcterms:created>
  <dcterms:modified xsi:type="dcterms:W3CDTF">2026-01-27T07:52:50Z</dcterms:modified>
</cp:coreProperties>
</file>